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activeX/activeX9.xml" ContentType="application/vnd.ms-office.activeX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activeX/activeX7.xml" ContentType="application/vnd.ms-office.activeX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activeX/activeX5.xml" ContentType="application/vnd.ms-office.activeX+xml"/>
  <Override PartName="/xl/drawings/drawing17.xml" ContentType="application/vnd.openxmlformats-officedocument.drawing+xml"/>
  <Override PartName="/xl/activeX/activeX17.xml" ContentType="application/vnd.ms-office.activeX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activeX/activeX3.xml" ContentType="application/vnd.ms-office.activeX+xml"/>
  <Override PartName="/xl/drawings/drawing15.xml" ContentType="application/vnd.openxmlformats-officedocument.drawing+xml"/>
  <Override PartName="/xl/activeX/activeX15.xml" ContentType="application/vnd.ms-office.activeX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drawings/drawing13.xml" ContentType="application/vnd.openxmlformats-officedocument.drawing+xml"/>
  <Override PartName="/xl/activeX/activeX13.xml" ContentType="application/vnd.ms-office.activeX+xml"/>
  <Override PartName="/xl/drawings/drawing14.xml" ContentType="application/vnd.openxmlformats-officedocument.drawing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activeX/activeX11.xml" ContentType="application/vnd.ms-office.activeX+xml"/>
  <Override PartName="/xl/drawings/drawing12.xml" ContentType="application/vnd.openxmlformats-officedocument.drawing+xml"/>
  <Override PartName="/xl/activeX/activeX12.xml" ContentType="application/vnd.ms-office.activeX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activeX/activeX10.xml" ContentType="application/vnd.ms-office.activeX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activeX/activeX6.xml" ContentType="application/vnd.ms-office.activeX+xml"/>
  <Override PartName="/xl/drawings/drawing18.xml" ContentType="application/vnd.openxmlformats-officedocument.drawing+xml"/>
  <Override PartName="/xl/activeX/activeX18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drawings/drawing3.xml" ContentType="application/vnd.openxmlformats-officedocument.drawing+xml"/>
  <Override PartName="/xl/activeX/activeX4.xml" ContentType="application/vnd.ms-office.activeX+xml"/>
  <Override PartName="/xl/drawings/drawing16.xml" ContentType="application/vnd.openxmlformats-officedocument.drawing+xml"/>
  <Override PartName="/xl/activeX/activeX16.xml" ContentType="application/vnd.ms-office.activeX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435" yWindow="105" windowWidth="14430" windowHeight="12630" tabRatio="830" activeTab="1"/>
  </bookViews>
  <sheets>
    <sheet name="Calendrier" sheetId="7" r:id="rId1"/>
    <sheet name="AED 18" sheetId="89" r:id="rId2"/>
    <sheet name="AED 17" sheetId="93" r:id="rId3"/>
    <sheet name="AED 16" sheetId="92" r:id="rId4"/>
    <sheet name="AED 15" sheetId="95" r:id="rId5"/>
    <sheet name="AED 13" sheetId="94" r:id="rId6"/>
    <sheet name="AED 14" sheetId="82" r:id="rId7"/>
    <sheet name="AED 1" sheetId="83" r:id="rId8"/>
    <sheet name="AED 2" sheetId="81" r:id="rId9"/>
    <sheet name="AED 3" sheetId="97" r:id="rId10"/>
    <sheet name="AED 4" sheetId="96" r:id="rId11"/>
    <sheet name="AED 5" sheetId="86" r:id="rId12"/>
    <sheet name="AED 6" sheetId="91" r:id="rId13"/>
    <sheet name="AED 7" sheetId="90" r:id="rId14"/>
    <sheet name="AED 8" sheetId="85" r:id="rId15"/>
    <sheet name="AED 9" sheetId="88" r:id="rId16"/>
    <sheet name="AED 10" sheetId="87" r:id="rId17"/>
    <sheet name="AED 11" sheetId="84" r:id="rId18"/>
    <sheet name="AED 12" sheetId="68" r:id="rId19"/>
    <sheet name="Feuil2" sheetId="80" r:id="rId20"/>
  </sheets>
  <definedNames>
    <definedName name="_xlnm._FilterDatabase" localSheetId="7" hidden="1">'AED 1'!#REF!</definedName>
    <definedName name="_xlnm._FilterDatabase" localSheetId="16" hidden="1">'AED 10'!#REF!</definedName>
    <definedName name="_xlnm._FilterDatabase" localSheetId="17" hidden="1">'AED 11'!#REF!</definedName>
    <definedName name="_xlnm._FilterDatabase" localSheetId="18" hidden="1">'AED 12'!#REF!</definedName>
    <definedName name="_xlnm._FilterDatabase" localSheetId="5" hidden="1">'AED 13'!#REF!</definedName>
    <definedName name="_xlnm._FilterDatabase" localSheetId="6" hidden="1">'AED 14'!#REF!</definedName>
    <definedName name="_xlnm._FilterDatabase" localSheetId="4" hidden="1">'AED 15'!#REF!</definedName>
    <definedName name="_xlnm._FilterDatabase" localSheetId="3" hidden="1">'AED 16'!#REF!</definedName>
    <definedName name="_xlnm._FilterDatabase" localSheetId="2" hidden="1">'AED 17'!#REF!</definedName>
    <definedName name="_xlnm._FilterDatabase" localSheetId="1" hidden="1">'AED 18'!#REF!</definedName>
    <definedName name="_xlnm._FilterDatabase" localSheetId="8" hidden="1">'AED 2'!#REF!</definedName>
    <definedName name="_xlnm._FilterDatabase" localSheetId="9" hidden="1">'AED 3'!#REF!</definedName>
    <definedName name="_xlnm._FilterDatabase" localSheetId="10" hidden="1">'AED 4'!#REF!</definedName>
    <definedName name="_xlnm._FilterDatabase" localSheetId="11" hidden="1">'AED 5'!#REF!</definedName>
    <definedName name="_xlnm._FilterDatabase" localSheetId="12" hidden="1">'AED 6'!#REF!</definedName>
    <definedName name="_xlnm._FilterDatabase" localSheetId="13" hidden="1">'AED 7'!#REF!</definedName>
    <definedName name="_xlnm._FilterDatabase" localSheetId="14" hidden="1">'AED 8'!#REF!</definedName>
    <definedName name="_xlnm._FilterDatabase" localSheetId="15" hidden="1">'AED 9'!#REF!</definedName>
  </definedNames>
  <calcPr calcId="124519"/>
</workbook>
</file>

<file path=xl/calcChain.xml><?xml version="1.0" encoding="utf-8"?>
<calcChain xmlns="http://schemas.openxmlformats.org/spreadsheetml/2006/main">
  <c r="AT58" i="97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U35"/>
  <c r="V35" s="1"/>
  <c r="O35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O34"/>
  <c r="P34" s="1"/>
  <c r="L34"/>
  <c r="J34"/>
  <c r="I34"/>
  <c r="F34"/>
  <c r="C34"/>
  <c r="D34" s="1"/>
  <c r="AX33"/>
  <c r="AW33"/>
  <c r="AP33"/>
  <c r="AN33"/>
  <c r="AJ33"/>
  <c r="AG33"/>
  <c r="AE33"/>
  <c r="AD33"/>
  <c r="AA33"/>
  <c r="X33"/>
  <c r="Y33" s="1"/>
  <c r="AT33" s="1"/>
  <c r="U33"/>
  <c r="R33"/>
  <c r="S33" s="1"/>
  <c r="Q33"/>
  <c r="O33"/>
  <c r="L33"/>
  <c r="I33"/>
  <c r="F33"/>
  <c r="C33"/>
  <c r="D33" s="1"/>
  <c r="AX32"/>
  <c r="AW32"/>
  <c r="AP32"/>
  <c r="AN32"/>
  <c r="AJ32"/>
  <c r="AG32"/>
  <c r="AD32"/>
  <c r="AA32"/>
  <c r="X32"/>
  <c r="Y32" s="1"/>
  <c r="AT32" s="1"/>
  <c r="U32"/>
  <c r="V32" s="1"/>
  <c r="R32"/>
  <c r="P32"/>
  <c r="O32"/>
  <c r="L32"/>
  <c r="I32"/>
  <c r="F32"/>
  <c r="C32"/>
  <c r="AX31"/>
  <c r="AW31"/>
  <c r="AP31"/>
  <c r="AN31"/>
  <c r="AJ31"/>
  <c r="AG31"/>
  <c r="AD31"/>
  <c r="AA31"/>
  <c r="Y31"/>
  <c r="AT31" s="1"/>
  <c r="X31"/>
  <c r="V31"/>
  <c r="U31"/>
  <c r="R31"/>
  <c r="O31"/>
  <c r="P31" s="1"/>
  <c r="L31"/>
  <c r="I31"/>
  <c r="F31"/>
  <c r="C31"/>
  <c r="D31" s="1"/>
  <c r="AX30"/>
  <c r="AW30"/>
  <c r="AP30"/>
  <c r="AN30"/>
  <c r="AJ30"/>
  <c r="AG30"/>
  <c r="AD30"/>
  <c r="AA30"/>
  <c r="AB30" s="1"/>
  <c r="X30"/>
  <c r="U30"/>
  <c r="R30"/>
  <c r="P30"/>
  <c r="O30"/>
  <c r="L30"/>
  <c r="I30"/>
  <c r="F30"/>
  <c r="C30"/>
  <c r="AX29"/>
  <c r="AW29"/>
  <c r="AN29"/>
  <c r="AJ29"/>
  <c r="AG29"/>
  <c r="AD29"/>
  <c r="AA29"/>
  <c r="X29"/>
  <c r="V29"/>
  <c r="U29"/>
  <c r="R29"/>
  <c r="O29"/>
  <c r="P29" s="1"/>
  <c r="L29"/>
  <c r="I29"/>
  <c r="J29" s="1"/>
  <c r="F29"/>
  <c r="C29"/>
  <c r="AX28"/>
  <c r="AW28"/>
  <c r="AR28"/>
  <c r="AP28"/>
  <c r="AN28"/>
  <c r="AJ28"/>
  <c r="AG28"/>
  <c r="AE28"/>
  <c r="AD28"/>
  <c r="AA28"/>
  <c r="X28"/>
  <c r="V28"/>
  <c r="U28"/>
  <c r="R28"/>
  <c r="O28"/>
  <c r="L28"/>
  <c r="I28"/>
  <c r="J28" s="1"/>
  <c r="F28"/>
  <c r="C28"/>
  <c r="D28" s="1"/>
  <c r="AX27"/>
  <c r="AW27"/>
  <c r="AP27"/>
  <c r="AP36" s="1"/>
  <c r="AN27"/>
  <c r="AJ27"/>
  <c r="AG27"/>
  <c r="AD27"/>
  <c r="AE27" s="1"/>
  <c r="AA27"/>
  <c r="X27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L26"/>
  <c r="I26"/>
  <c r="F26"/>
  <c r="D26"/>
  <c r="C26"/>
  <c r="AX25"/>
  <c r="AW25"/>
  <c r="AN25"/>
  <c r="AN36" s="1"/>
  <c r="AJ25"/>
  <c r="AG25"/>
  <c r="AD25"/>
  <c r="AE25" s="1"/>
  <c r="AA25"/>
  <c r="X25"/>
  <c r="U25"/>
  <c r="R25"/>
  <c r="O25"/>
  <c r="P25" s="1"/>
  <c r="L25"/>
  <c r="I25"/>
  <c r="F25"/>
  <c r="C25"/>
  <c r="D25" s="1"/>
  <c r="AX24"/>
  <c r="AW24"/>
  <c r="AJ24"/>
  <c r="AG24"/>
  <c r="AD24"/>
  <c r="AA24"/>
  <c r="AB24" s="1"/>
  <c r="X24"/>
  <c r="U24"/>
  <c r="R24"/>
  <c r="P24"/>
  <c r="O24"/>
  <c r="L24"/>
  <c r="I24"/>
  <c r="F24"/>
  <c r="C24"/>
  <c r="AX23"/>
  <c r="AW23"/>
  <c r="AJ23"/>
  <c r="AG23"/>
  <c r="AE23"/>
  <c r="AD23"/>
  <c r="AB23"/>
  <c r="AA23"/>
  <c r="X23"/>
  <c r="U23"/>
  <c r="R23"/>
  <c r="O23"/>
  <c r="P23" s="1"/>
  <c r="L23"/>
  <c r="I23"/>
  <c r="F23"/>
  <c r="G23" s="1"/>
  <c r="C23"/>
  <c r="AX22"/>
  <c r="AW22"/>
  <c r="AJ22"/>
  <c r="AG22"/>
  <c r="AE22"/>
  <c r="AD22"/>
  <c r="AB22"/>
  <c r="AA22"/>
  <c r="X22"/>
  <c r="U22"/>
  <c r="R22"/>
  <c r="O22"/>
  <c r="P22" s="1"/>
  <c r="L22"/>
  <c r="I22"/>
  <c r="J22" s="1"/>
  <c r="F22"/>
  <c r="C22"/>
  <c r="AX21"/>
  <c r="AW21"/>
  <c r="AJ21"/>
  <c r="AG21"/>
  <c r="AD21"/>
  <c r="AA21"/>
  <c r="AB21" s="1"/>
  <c r="X21"/>
  <c r="U21"/>
  <c r="V21" s="1"/>
  <c r="R21"/>
  <c r="O21"/>
  <c r="L21"/>
  <c r="M21" s="1"/>
  <c r="I21"/>
  <c r="J21" s="1"/>
  <c r="F21"/>
  <c r="C21"/>
  <c r="AX20"/>
  <c r="AW20"/>
  <c r="AJ20"/>
  <c r="AG20"/>
  <c r="AD20"/>
  <c r="AE20" s="1"/>
  <c r="AA20"/>
  <c r="X20"/>
  <c r="U20"/>
  <c r="V20" s="1"/>
  <c r="R20"/>
  <c r="O20"/>
  <c r="L20"/>
  <c r="M20" s="1"/>
  <c r="I20"/>
  <c r="J20" s="1"/>
  <c r="F20"/>
  <c r="D20"/>
  <c r="C20"/>
  <c r="AW19"/>
  <c r="AJ19"/>
  <c r="AG19"/>
  <c r="AD19"/>
  <c r="AE19" s="1"/>
  <c r="AA19"/>
  <c r="X19"/>
  <c r="U19"/>
  <c r="R19"/>
  <c r="O19"/>
  <c r="L19"/>
  <c r="M19" s="1"/>
  <c r="I19"/>
  <c r="F19"/>
  <c r="G19" s="1"/>
  <c r="C19"/>
  <c r="D19" s="1"/>
  <c r="AX18"/>
  <c r="AJ18"/>
  <c r="AG18"/>
  <c r="AD18"/>
  <c r="AA18"/>
  <c r="X18"/>
  <c r="U18"/>
  <c r="R18"/>
  <c r="O18"/>
  <c r="M18"/>
  <c r="L18"/>
  <c r="I18"/>
  <c r="F18"/>
  <c r="G18" s="1"/>
  <c r="C18"/>
  <c r="AX17"/>
  <c r="AW17"/>
  <c r="AJ17"/>
  <c r="AG17"/>
  <c r="AD17"/>
  <c r="AA17"/>
  <c r="X17"/>
  <c r="U17"/>
  <c r="V17" s="1"/>
  <c r="R17"/>
  <c r="P17"/>
  <c r="O17"/>
  <c r="L17"/>
  <c r="I17"/>
  <c r="G17"/>
  <c r="F17"/>
  <c r="D17"/>
  <c r="C17"/>
  <c r="AX16"/>
  <c r="AW16"/>
  <c r="AJ16"/>
  <c r="AG16"/>
  <c r="AD16"/>
  <c r="AA16"/>
  <c r="AB16" s="1"/>
  <c r="X16"/>
  <c r="U16"/>
  <c r="R16"/>
  <c r="O16"/>
  <c r="P16" s="1"/>
  <c r="L16"/>
  <c r="M16" s="1"/>
  <c r="I16"/>
  <c r="F16"/>
  <c r="G16" s="1"/>
  <c r="C16"/>
  <c r="AX15"/>
  <c r="AW15"/>
  <c r="AJ15"/>
  <c r="AG15"/>
  <c r="AD15"/>
  <c r="AA15"/>
  <c r="AB15" s="1"/>
  <c r="X15"/>
  <c r="U15"/>
  <c r="R15"/>
  <c r="O15"/>
  <c r="P15" s="1"/>
  <c r="L15"/>
  <c r="I15"/>
  <c r="F15"/>
  <c r="C15"/>
  <c r="AX14"/>
  <c r="AW14"/>
  <c r="AJ14"/>
  <c r="AG14"/>
  <c r="AD14"/>
  <c r="AA14"/>
  <c r="X14"/>
  <c r="U14"/>
  <c r="V14" s="1"/>
  <c r="R14"/>
  <c r="S14" s="1"/>
  <c r="O14"/>
  <c r="L14"/>
  <c r="M14" s="1"/>
  <c r="J14"/>
  <c r="I14"/>
  <c r="F14"/>
  <c r="C14"/>
  <c r="AX13"/>
  <c r="AW13"/>
  <c r="AJ13"/>
  <c r="AG13"/>
  <c r="AD13"/>
  <c r="AE13" s="1"/>
  <c r="AA13"/>
  <c r="X13"/>
  <c r="U13"/>
  <c r="V13" s="1"/>
  <c r="R13"/>
  <c r="S13" s="1"/>
  <c r="O13"/>
  <c r="M13"/>
  <c r="L13"/>
  <c r="J13"/>
  <c r="I13"/>
  <c r="G13"/>
  <c r="F13"/>
  <c r="D13"/>
  <c r="C13"/>
  <c r="AX12"/>
  <c r="AW12"/>
  <c r="AJ12"/>
  <c r="AG12"/>
  <c r="AE12"/>
  <c r="AD12"/>
  <c r="AA12"/>
  <c r="X12"/>
  <c r="U12"/>
  <c r="R12"/>
  <c r="S12" s="1"/>
  <c r="O12"/>
  <c r="L12"/>
  <c r="M12" s="1"/>
  <c r="I12"/>
  <c r="F12"/>
  <c r="G12" s="1"/>
  <c r="C12"/>
  <c r="D12" s="1"/>
  <c r="AX11"/>
  <c r="AJ11"/>
  <c r="AG11"/>
  <c r="AH11" s="1"/>
  <c r="AW11" s="1"/>
  <c r="AW36" s="1"/>
  <c r="AD11"/>
  <c r="AB11"/>
  <c r="AA11"/>
  <c r="Y11"/>
  <c r="X11"/>
  <c r="U11"/>
  <c r="R11"/>
  <c r="P11"/>
  <c r="O11"/>
  <c r="L11"/>
  <c r="I11"/>
  <c r="G11"/>
  <c r="F11"/>
  <c r="D11"/>
  <c r="C11"/>
  <c r="AX10"/>
  <c r="AJ10"/>
  <c r="AH10"/>
  <c r="AG10"/>
  <c r="AD10"/>
  <c r="AA10"/>
  <c r="X10"/>
  <c r="Y10" s="1"/>
  <c r="U10"/>
  <c r="R10"/>
  <c r="S10" s="1"/>
  <c r="O10"/>
  <c r="P10" s="1"/>
  <c r="L10"/>
  <c r="I10"/>
  <c r="F10"/>
  <c r="G10" s="1"/>
  <c r="C10"/>
  <c r="D10" s="1"/>
  <c r="AX9"/>
  <c r="AJ9"/>
  <c r="AG9"/>
  <c r="AD9"/>
  <c r="AA9"/>
  <c r="AB9" s="1"/>
  <c r="X9"/>
  <c r="Y9" s="1"/>
  <c r="U9"/>
  <c r="R9"/>
  <c r="O9"/>
  <c r="P9" s="1"/>
  <c r="L9"/>
  <c r="I9"/>
  <c r="F9"/>
  <c r="G9" s="1"/>
  <c r="C9"/>
  <c r="AX8"/>
  <c r="AJ8"/>
  <c r="AG8"/>
  <c r="AD8"/>
  <c r="AA8"/>
  <c r="AB8" s="1"/>
  <c r="X8"/>
  <c r="U8"/>
  <c r="R8"/>
  <c r="S8" s="1"/>
  <c r="O8"/>
  <c r="L8"/>
  <c r="M8" s="1"/>
  <c r="I8"/>
  <c r="J8" s="1"/>
  <c r="F8"/>
  <c r="G8" s="1"/>
  <c r="C8"/>
  <c r="D8" s="1"/>
  <c r="AX7"/>
  <c r="AQ7"/>
  <c r="AJ7"/>
  <c r="AG7"/>
  <c r="AD7"/>
  <c r="AA7"/>
  <c r="AB7" s="1"/>
  <c r="X7"/>
  <c r="Y7" s="1"/>
  <c r="U7"/>
  <c r="V7" s="1"/>
  <c r="AS7" s="1"/>
  <c r="R7"/>
  <c r="S7" s="1"/>
  <c r="O7"/>
  <c r="M7"/>
  <c r="L7"/>
  <c r="J7"/>
  <c r="I7"/>
  <c r="F7"/>
  <c r="C7"/>
  <c r="AX6"/>
  <c r="AQ6"/>
  <c r="AQ36" s="1"/>
  <c r="AJ6"/>
  <c r="AG6"/>
  <c r="AE6"/>
  <c r="AD6"/>
  <c r="AA6"/>
  <c r="X6"/>
  <c r="V6"/>
  <c r="AS6" s="1"/>
  <c r="U6"/>
  <c r="S6"/>
  <c r="R6"/>
  <c r="O6"/>
  <c r="L6"/>
  <c r="M6" s="1"/>
  <c r="I6"/>
  <c r="F6"/>
  <c r="D6"/>
  <c r="AM6" s="1"/>
  <c r="AM36" s="1"/>
  <c r="C6"/>
  <c r="AX5"/>
  <c r="AJ5"/>
  <c r="AG5"/>
  <c r="AD5"/>
  <c r="AE5" s="1"/>
  <c r="AA5"/>
  <c r="X5"/>
  <c r="V5"/>
  <c r="AS5" s="1"/>
  <c r="U5"/>
  <c r="R5"/>
  <c r="O5"/>
  <c r="M5"/>
  <c r="L5"/>
  <c r="I5"/>
  <c r="F5"/>
  <c r="G5" s="1"/>
  <c r="C5"/>
  <c r="D5" s="1"/>
  <c r="B2"/>
  <c r="AT58" i="96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P35" s="1"/>
  <c r="L35"/>
  <c r="J35"/>
  <c r="F35"/>
  <c r="AX34"/>
  <c r="AW34"/>
  <c r="AP34"/>
  <c r="AN34"/>
  <c r="AJ34"/>
  <c r="AG34"/>
  <c r="AD34"/>
  <c r="AE34" s="1"/>
  <c r="AA34"/>
  <c r="X34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V33" s="1"/>
  <c r="R33"/>
  <c r="S33" s="1"/>
  <c r="Q33"/>
  <c r="P33"/>
  <c r="O33"/>
  <c r="L33"/>
  <c r="I33"/>
  <c r="J33" s="1"/>
  <c r="F33"/>
  <c r="C33"/>
  <c r="D33" s="1"/>
  <c r="AX32"/>
  <c r="AW32"/>
  <c r="AP32"/>
  <c r="AN32"/>
  <c r="AJ32"/>
  <c r="AG32"/>
  <c r="AD32"/>
  <c r="AA32"/>
  <c r="X32"/>
  <c r="Y32" s="1"/>
  <c r="AT32" s="1"/>
  <c r="U32"/>
  <c r="V32" s="1"/>
  <c r="R32"/>
  <c r="S32" s="1"/>
  <c r="AR32" s="1"/>
  <c r="O32"/>
  <c r="P32" s="1"/>
  <c r="L32"/>
  <c r="I32"/>
  <c r="F32"/>
  <c r="C32"/>
  <c r="D32" s="1"/>
  <c r="AX31"/>
  <c r="AW31"/>
  <c r="AP31"/>
  <c r="AN31"/>
  <c r="AJ31"/>
  <c r="AG31"/>
  <c r="AD31"/>
  <c r="AE31" s="1"/>
  <c r="AA31"/>
  <c r="AB31" s="1"/>
  <c r="X31"/>
  <c r="Y31" s="1"/>
  <c r="AT31" s="1"/>
  <c r="U31"/>
  <c r="R31"/>
  <c r="O31"/>
  <c r="P31" s="1"/>
  <c r="L31"/>
  <c r="I31"/>
  <c r="F31"/>
  <c r="C31"/>
  <c r="D31" s="1"/>
  <c r="AX30"/>
  <c r="AW30"/>
  <c r="AP30"/>
  <c r="AN30"/>
  <c r="AJ30"/>
  <c r="AG30"/>
  <c r="AD30"/>
  <c r="AA30"/>
  <c r="AB30" s="1"/>
  <c r="X30"/>
  <c r="Y30" s="1"/>
  <c r="AT30" s="1"/>
  <c r="U30"/>
  <c r="R30"/>
  <c r="S30" s="1"/>
  <c r="AR30" s="1"/>
  <c r="P30"/>
  <c r="O30"/>
  <c r="L30"/>
  <c r="I30"/>
  <c r="J30" s="1"/>
  <c r="F30"/>
  <c r="C30"/>
  <c r="AX29"/>
  <c r="AW29"/>
  <c r="AN29"/>
  <c r="AJ29"/>
  <c r="AG29"/>
  <c r="AD29"/>
  <c r="AE29" s="1"/>
  <c r="AA29"/>
  <c r="X29"/>
  <c r="Y29" s="1"/>
  <c r="AT29" s="1"/>
  <c r="U29"/>
  <c r="V29" s="1"/>
  <c r="R29"/>
  <c r="S29" s="1"/>
  <c r="AR29" s="1"/>
  <c r="O29"/>
  <c r="P29" s="1"/>
  <c r="L29"/>
  <c r="J29"/>
  <c r="I29"/>
  <c r="F29"/>
  <c r="C29"/>
  <c r="D29" s="1"/>
  <c r="AX28"/>
  <c r="AW28"/>
  <c r="AR28"/>
  <c r="AP28"/>
  <c r="AN28"/>
  <c r="AJ28"/>
  <c r="AG28"/>
  <c r="AD28"/>
  <c r="AE28" s="1"/>
  <c r="AA28"/>
  <c r="AB28" s="1"/>
  <c r="X28"/>
  <c r="U28"/>
  <c r="V28" s="1"/>
  <c r="R28"/>
  <c r="O28"/>
  <c r="P28" s="1"/>
  <c r="L28"/>
  <c r="J28"/>
  <c r="I28"/>
  <c r="F28"/>
  <c r="C28"/>
  <c r="D28" s="1"/>
  <c r="AX27"/>
  <c r="AW27"/>
  <c r="AP27"/>
  <c r="AP36" s="1"/>
  <c r="AN27"/>
  <c r="AJ27"/>
  <c r="AG27"/>
  <c r="AD27"/>
  <c r="AE27" s="1"/>
  <c r="AA27"/>
  <c r="AB27" s="1"/>
  <c r="X27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P26" s="1"/>
  <c r="L26"/>
  <c r="I26"/>
  <c r="J26" s="1"/>
  <c r="F26"/>
  <c r="D26"/>
  <c r="C26"/>
  <c r="AX25"/>
  <c r="AW25"/>
  <c r="AN25"/>
  <c r="AJ25"/>
  <c r="AG25"/>
  <c r="AD25"/>
  <c r="AE25" s="1"/>
  <c r="AA25"/>
  <c r="AB25" s="1"/>
  <c r="X25"/>
  <c r="U25"/>
  <c r="V25" s="1"/>
  <c r="R25"/>
  <c r="P25"/>
  <c r="O25"/>
  <c r="L25"/>
  <c r="M25" s="1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I24"/>
  <c r="F24"/>
  <c r="C24"/>
  <c r="D24" s="1"/>
  <c r="AX23"/>
  <c r="AW23"/>
  <c r="AJ23"/>
  <c r="AG23"/>
  <c r="AD23"/>
  <c r="AA23"/>
  <c r="AB23" s="1"/>
  <c r="X23"/>
  <c r="V23"/>
  <c r="U23"/>
  <c r="R23"/>
  <c r="O23"/>
  <c r="P23" s="1"/>
  <c r="L23"/>
  <c r="I23"/>
  <c r="J23" s="1"/>
  <c r="G23"/>
  <c r="F23"/>
  <c r="C23"/>
  <c r="AX22"/>
  <c r="AW22"/>
  <c r="AJ22"/>
  <c r="AG22"/>
  <c r="AD22"/>
  <c r="AA22"/>
  <c r="AB22" s="1"/>
  <c r="X22"/>
  <c r="U22"/>
  <c r="R22"/>
  <c r="P22"/>
  <c r="O22"/>
  <c r="L22"/>
  <c r="M22" s="1"/>
  <c r="I22"/>
  <c r="J22" s="1"/>
  <c r="F22"/>
  <c r="G22" s="1"/>
  <c r="C22"/>
  <c r="AX21"/>
  <c r="AW21"/>
  <c r="AJ21"/>
  <c r="AG21"/>
  <c r="AD21"/>
  <c r="AE21" s="1"/>
  <c r="AA21"/>
  <c r="AB21" s="1"/>
  <c r="X21"/>
  <c r="U21"/>
  <c r="V21" s="1"/>
  <c r="R21"/>
  <c r="O21"/>
  <c r="P21" s="1"/>
  <c r="L21"/>
  <c r="M21" s="1"/>
  <c r="I21"/>
  <c r="J21" s="1"/>
  <c r="F21"/>
  <c r="C21"/>
  <c r="D21" s="1"/>
  <c r="AX20"/>
  <c r="AW20"/>
  <c r="AJ20"/>
  <c r="AG20"/>
  <c r="AD20"/>
  <c r="AE20" s="1"/>
  <c r="AA20"/>
  <c r="AB20" s="1"/>
  <c r="X20"/>
  <c r="U20"/>
  <c r="V20" s="1"/>
  <c r="R20"/>
  <c r="O20"/>
  <c r="L20"/>
  <c r="M20" s="1"/>
  <c r="I20"/>
  <c r="J20" s="1"/>
  <c r="F20"/>
  <c r="D20"/>
  <c r="C20"/>
  <c r="AW19"/>
  <c r="AJ19"/>
  <c r="AG19"/>
  <c r="AD19"/>
  <c r="AE19" s="1"/>
  <c r="AA19"/>
  <c r="X19"/>
  <c r="U19"/>
  <c r="V19" s="1"/>
  <c r="R19"/>
  <c r="O19"/>
  <c r="L19"/>
  <c r="M19" s="1"/>
  <c r="I19"/>
  <c r="J19" s="1"/>
  <c r="F19"/>
  <c r="G19" s="1"/>
  <c r="C19"/>
  <c r="D19" s="1"/>
  <c r="AX18"/>
  <c r="AJ18"/>
  <c r="AG18"/>
  <c r="AD18"/>
  <c r="AE18" s="1"/>
  <c r="AA18"/>
  <c r="X18"/>
  <c r="U18"/>
  <c r="V18" s="1"/>
  <c r="R18"/>
  <c r="O18"/>
  <c r="P18" s="1"/>
  <c r="L18"/>
  <c r="M18" s="1"/>
  <c r="I18"/>
  <c r="F18"/>
  <c r="G18" s="1"/>
  <c r="C18"/>
  <c r="D18" s="1"/>
  <c r="AX17"/>
  <c r="AW17"/>
  <c r="AJ17"/>
  <c r="AG17"/>
  <c r="AE17"/>
  <c r="AD17"/>
  <c r="AA17"/>
  <c r="AB17" s="1"/>
  <c r="X17"/>
  <c r="U17"/>
  <c r="R17"/>
  <c r="P17"/>
  <c r="O17"/>
  <c r="L17"/>
  <c r="M17" s="1"/>
  <c r="I17"/>
  <c r="F17"/>
  <c r="G17" s="1"/>
  <c r="C17"/>
  <c r="D17" s="1"/>
  <c r="AX16"/>
  <c r="AW16"/>
  <c r="AJ16"/>
  <c r="AG16"/>
  <c r="AD16"/>
  <c r="AE16" s="1"/>
  <c r="AA16"/>
  <c r="AB16" s="1"/>
  <c r="X16"/>
  <c r="U16"/>
  <c r="V16" s="1"/>
  <c r="R16"/>
  <c r="O16"/>
  <c r="P16" s="1"/>
  <c r="L16"/>
  <c r="M16" s="1"/>
  <c r="I16"/>
  <c r="J16" s="1"/>
  <c r="F16"/>
  <c r="G16" s="1"/>
  <c r="C16"/>
  <c r="AX15"/>
  <c r="AW15"/>
  <c r="AJ15"/>
  <c r="AG15"/>
  <c r="AD15"/>
  <c r="AA15"/>
  <c r="AB15" s="1"/>
  <c r="X15"/>
  <c r="U15"/>
  <c r="R15"/>
  <c r="O15"/>
  <c r="P15" s="1"/>
  <c r="L15"/>
  <c r="M15" s="1"/>
  <c r="I15"/>
  <c r="F15"/>
  <c r="C15"/>
  <c r="D15" s="1"/>
  <c r="AX14"/>
  <c r="AW14"/>
  <c r="AJ14"/>
  <c r="AG14"/>
  <c r="AD14"/>
  <c r="AA14"/>
  <c r="AB14" s="1"/>
  <c r="X14"/>
  <c r="V14"/>
  <c r="U14"/>
  <c r="S14"/>
  <c r="R14"/>
  <c r="P14"/>
  <c r="O14"/>
  <c r="M14"/>
  <c r="L14"/>
  <c r="J14"/>
  <c r="I14"/>
  <c r="G14"/>
  <c r="F14"/>
  <c r="C14"/>
  <c r="AX13"/>
  <c r="AW13"/>
  <c r="AJ13"/>
  <c r="AG13"/>
  <c r="AD13"/>
  <c r="AE13" s="1"/>
  <c r="AA13"/>
  <c r="AB13" s="1"/>
  <c r="X13"/>
  <c r="V13"/>
  <c r="U13"/>
  <c r="R13"/>
  <c r="S13" s="1"/>
  <c r="O13"/>
  <c r="L13"/>
  <c r="M13" s="1"/>
  <c r="I13"/>
  <c r="J13" s="1"/>
  <c r="F13"/>
  <c r="G13" s="1"/>
  <c r="C13"/>
  <c r="D13" s="1"/>
  <c r="AX12"/>
  <c r="AW12"/>
  <c r="AJ12"/>
  <c r="AG12"/>
  <c r="AD12"/>
  <c r="AE12" s="1"/>
  <c r="AA12"/>
  <c r="X12"/>
  <c r="U12"/>
  <c r="V12" s="1"/>
  <c r="R12"/>
  <c r="S12" s="1"/>
  <c r="O12"/>
  <c r="P12" s="1"/>
  <c r="L12"/>
  <c r="M12" s="1"/>
  <c r="I12"/>
  <c r="J12" s="1"/>
  <c r="G12"/>
  <c r="F12"/>
  <c r="C12"/>
  <c r="D12" s="1"/>
  <c r="AX11"/>
  <c r="AJ11"/>
  <c r="AG11"/>
  <c r="AH11" s="1"/>
  <c r="AW11" s="1"/>
  <c r="AD11"/>
  <c r="AE11" s="1"/>
  <c r="AA11"/>
  <c r="X11"/>
  <c r="Y11" s="1"/>
  <c r="U11"/>
  <c r="V11" s="1"/>
  <c r="AS11" s="1"/>
  <c r="R11"/>
  <c r="S11" s="1"/>
  <c r="O11"/>
  <c r="P11" s="1"/>
  <c r="L11"/>
  <c r="M11" s="1"/>
  <c r="I11"/>
  <c r="F11"/>
  <c r="G11" s="1"/>
  <c r="D11"/>
  <c r="C11"/>
  <c r="AX10"/>
  <c r="AJ10"/>
  <c r="AH10"/>
  <c r="AG10"/>
  <c r="AE10"/>
  <c r="AD10"/>
  <c r="AA10"/>
  <c r="X10"/>
  <c r="Y10" s="1"/>
  <c r="U10"/>
  <c r="R10"/>
  <c r="O10"/>
  <c r="P10" s="1"/>
  <c r="L10"/>
  <c r="M10" s="1"/>
  <c r="I10"/>
  <c r="F10"/>
  <c r="G10" s="1"/>
  <c r="C10"/>
  <c r="D10" s="1"/>
  <c r="AX9"/>
  <c r="AJ9"/>
  <c r="AG9"/>
  <c r="AD9"/>
  <c r="AA9"/>
  <c r="AB9" s="1"/>
  <c r="X9"/>
  <c r="Y9" s="1"/>
  <c r="U9"/>
  <c r="R9"/>
  <c r="S9" s="1"/>
  <c r="O9"/>
  <c r="P9" s="1"/>
  <c r="L9"/>
  <c r="I9"/>
  <c r="F9"/>
  <c r="G9" s="1"/>
  <c r="C9"/>
  <c r="AX8"/>
  <c r="AJ8"/>
  <c r="AG8"/>
  <c r="AH8" s="1"/>
  <c r="AD8"/>
  <c r="AA8"/>
  <c r="AB8" s="1"/>
  <c r="X8"/>
  <c r="Y8" s="1"/>
  <c r="U8"/>
  <c r="V8" s="1"/>
  <c r="AS8" s="1"/>
  <c r="R8"/>
  <c r="S8" s="1"/>
  <c r="O8"/>
  <c r="L8"/>
  <c r="I8"/>
  <c r="J8" s="1"/>
  <c r="F8"/>
  <c r="G8" s="1"/>
  <c r="C8"/>
  <c r="AX7"/>
  <c r="AQ7"/>
  <c r="AJ7"/>
  <c r="AG7"/>
  <c r="AD7"/>
  <c r="AA7"/>
  <c r="AB7" s="1"/>
  <c r="X7"/>
  <c r="U7"/>
  <c r="V7" s="1"/>
  <c r="AS7" s="1"/>
  <c r="R7"/>
  <c r="S7" s="1"/>
  <c r="O7"/>
  <c r="L7"/>
  <c r="M7" s="1"/>
  <c r="I7"/>
  <c r="J7" s="1"/>
  <c r="F7"/>
  <c r="C7"/>
  <c r="D7" s="1"/>
  <c r="AX6"/>
  <c r="AX36" s="1"/>
  <c r="AQ6"/>
  <c r="AQ36" s="1"/>
  <c r="AJ6"/>
  <c r="AG6"/>
  <c r="AH6" s="1"/>
  <c r="AD6"/>
  <c r="AE6" s="1"/>
  <c r="AA6"/>
  <c r="AB6" s="1"/>
  <c r="X6"/>
  <c r="U6"/>
  <c r="V6" s="1"/>
  <c r="AS6" s="1"/>
  <c r="S6"/>
  <c r="R6"/>
  <c r="O6"/>
  <c r="L6"/>
  <c r="M6" s="1"/>
  <c r="I6"/>
  <c r="F6"/>
  <c r="G6" s="1"/>
  <c r="C6"/>
  <c r="D6" s="1"/>
  <c r="AM6" s="1"/>
  <c r="AM36" s="1"/>
  <c r="AX5"/>
  <c r="AJ5"/>
  <c r="AG5"/>
  <c r="AE5"/>
  <c r="AD5"/>
  <c r="AA5"/>
  <c r="X5"/>
  <c r="Y5" s="1"/>
  <c r="V5"/>
  <c r="AS5" s="1"/>
  <c r="U5"/>
  <c r="R5"/>
  <c r="S5" s="1"/>
  <c r="O5"/>
  <c r="M5"/>
  <c r="L5"/>
  <c r="I5"/>
  <c r="F5"/>
  <c r="G5" s="1"/>
  <c r="C5"/>
  <c r="D5" s="1"/>
  <c r="B2"/>
  <c r="AT58" i="95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P35" s="1"/>
  <c r="L35"/>
  <c r="J35"/>
  <c r="F35"/>
  <c r="AX34"/>
  <c r="AW34"/>
  <c r="AP34"/>
  <c r="AN34"/>
  <c r="AJ34"/>
  <c r="AG34"/>
  <c r="AD34"/>
  <c r="AE34" s="1"/>
  <c r="AA34"/>
  <c r="X34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V33" s="1"/>
  <c r="S33"/>
  <c r="R33"/>
  <c r="Q33"/>
  <c r="O33"/>
  <c r="P33" s="1"/>
  <c r="L33"/>
  <c r="I33"/>
  <c r="F33"/>
  <c r="C33"/>
  <c r="D33" s="1"/>
  <c r="AX32"/>
  <c r="AW32"/>
  <c r="AP32"/>
  <c r="AN32"/>
  <c r="AJ32"/>
  <c r="AG32"/>
  <c r="AD32"/>
  <c r="AA32"/>
  <c r="X32"/>
  <c r="Y32" s="1"/>
  <c r="AT32" s="1"/>
  <c r="U32"/>
  <c r="V32" s="1"/>
  <c r="R32"/>
  <c r="S32" s="1"/>
  <c r="AR32" s="1"/>
  <c r="P32"/>
  <c r="O32"/>
  <c r="L32"/>
  <c r="I32"/>
  <c r="J32" s="1"/>
  <c r="F32"/>
  <c r="C32"/>
  <c r="D32" s="1"/>
  <c r="AX31"/>
  <c r="AW31"/>
  <c r="AP31"/>
  <c r="AN31"/>
  <c r="AJ31"/>
  <c r="AG31"/>
  <c r="AD31"/>
  <c r="AE31" s="1"/>
  <c r="AA31"/>
  <c r="AB31" s="1"/>
  <c r="Y31"/>
  <c r="AT31" s="1"/>
  <c r="X31"/>
  <c r="U31"/>
  <c r="R31"/>
  <c r="S31" s="1"/>
  <c r="AR31" s="1"/>
  <c r="O31"/>
  <c r="P31" s="1"/>
  <c r="L31"/>
  <c r="I31"/>
  <c r="F31"/>
  <c r="C31"/>
  <c r="D31" s="1"/>
  <c r="AX30"/>
  <c r="AW30"/>
  <c r="AP30"/>
  <c r="AN30"/>
  <c r="AJ30"/>
  <c r="AG30"/>
  <c r="AD30"/>
  <c r="AB30"/>
  <c r="AA30"/>
  <c r="X30"/>
  <c r="Y30" s="1"/>
  <c r="AT30" s="1"/>
  <c r="U30"/>
  <c r="R30"/>
  <c r="S30" s="1"/>
  <c r="AR30" s="1"/>
  <c r="O30"/>
  <c r="P30" s="1"/>
  <c r="L30"/>
  <c r="I30"/>
  <c r="J30" s="1"/>
  <c r="F30"/>
  <c r="C30"/>
  <c r="AX29"/>
  <c r="AW29"/>
  <c r="AN29"/>
  <c r="AJ29"/>
  <c r="AG29"/>
  <c r="AD29"/>
  <c r="AE29" s="1"/>
  <c r="AA29"/>
  <c r="X29"/>
  <c r="Y29" s="1"/>
  <c r="AT29" s="1"/>
  <c r="U29"/>
  <c r="V29" s="1"/>
  <c r="R29"/>
  <c r="S29" s="1"/>
  <c r="AR29" s="1"/>
  <c r="O29"/>
  <c r="P29" s="1"/>
  <c r="L29"/>
  <c r="I29"/>
  <c r="J29" s="1"/>
  <c r="F29"/>
  <c r="C29"/>
  <c r="D29" s="1"/>
  <c r="AX28"/>
  <c r="AW28"/>
  <c r="AR28"/>
  <c r="AP28"/>
  <c r="AN28"/>
  <c r="AJ28"/>
  <c r="AG28"/>
  <c r="AE28"/>
  <c r="AD28"/>
  <c r="AA28"/>
  <c r="AB28" s="1"/>
  <c r="X28"/>
  <c r="Y28" s="1"/>
  <c r="AT28" s="1"/>
  <c r="U28"/>
  <c r="V28" s="1"/>
  <c r="R28"/>
  <c r="O28"/>
  <c r="P28" s="1"/>
  <c r="L28"/>
  <c r="J28"/>
  <c r="I28"/>
  <c r="F28"/>
  <c r="C28"/>
  <c r="D28" s="1"/>
  <c r="AX27"/>
  <c r="AW27"/>
  <c r="AP27"/>
  <c r="AP36" s="1"/>
  <c r="AN27"/>
  <c r="AJ27"/>
  <c r="AG27"/>
  <c r="AD27"/>
  <c r="AE27" s="1"/>
  <c r="AA27"/>
  <c r="AB27" s="1"/>
  <c r="X27"/>
  <c r="U27"/>
  <c r="V27" s="1"/>
  <c r="R27"/>
  <c r="O27"/>
  <c r="P27" s="1"/>
  <c r="L27"/>
  <c r="I27"/>
  <c r="J27" s="1"/>
  <c r="F27"/>
  <c r="C27"/>
  <c r="D27" s="1"/>
  <c r="AX26"/>
  <c r="AW26"/>
  <c r="AT26"/>
  <c r="AN26"/>
  <c r="AJ26"/>
  <c r="AG26"/>
  <c r="AD26"/>
  <c r="AE26" s="1"/>
  <c r="AA26"/>
  <c r="AB26" s="1"/>
  <c r="X26"/>
  <c r="V26"/>
  <c r="U26"/>
  <c r="R26"/>
  <c r="O26"/>
  <c r="P26" s="1"/>
  <c r="L26"/>
  <c r="I26"/>
  <c r="J26" s="1"/>
  <c r="F26"/>
  <c r="C26"/>
  <c r="D26" s="1"/>
  <c r="AX25"/>
  <c r="AW25"/>
  <c r="AN25"/>
  <c r="AJ25"/>
  <c r="AG25"/>
  <c r="AD25"/>
  <c r="AE25" s="1"/>
  <c r="AA25"/>
  <c r="AB25" s="1"/>
  <c r="X25"/>
  <c r="U25"/>
  <c r="V25" s="1"/>
  <c r="R25"/>
  <c r="O25"/>
  <c r="P25" s="1"/>
  <c r="L25"/>
  <c r="M25" s="1"/>
  <c r="I25"/>
  <c r="J25" s="1"/>
  <c r="F25"/>
  <c r="D25"/>
  <c r="C25"/>
  <c r="AX24"/>
  <c r="AW24"/>
  <c r="AJ24"/>
  <c r="AG24"/>
  <c r="AE24"/>
  <c r="AD24"/>
  <c r="AB24"/>
  <c r="AA24"/>
  <c r="X24"/>
  <c r="U24"/>
  <c r="R24"/>
  <c r="O24"/>
  <c r="P24" s="1"/>
  <c r="L24"/>
  <c r="M24" s="1"/>
  <c r="I24"/>
  <c r="F24"/>
  <c r="C24"/>
  <c r="D24" s="1"/>
  <c r="AX23"/>
  <c r="AW23"/>
  <c r="AJ23"/>
  <c r="AG23"/>
  <c r="AD23"/>
  <c r="AE23" s="1"/>
  <c r="AA23"/>
  <c r="AB23" s="1"/>
  <c r="X23"/>
  <c r="U23"/>
  <c r="V23" s="1"/>
  <c r="R23"/>
  <c r="O23"/>
  <c r="P23" s="1"/>
  <c r="L23"/>
  <c r="M23" s="1"/>
  <c r="I23"/>
  <c r="J23" s="1"/>
  <c r="F23"/>
  <c r="C23"/>
  <c r="AX22"/>
  <c r="AW22"/>
  <c r="AJ22"/>
  <c r="AG22"/>
  <c r="AD22"/>
  <c r="AA22"/>
  <c r="AB22" s="1"/>
  <c r="X22"/>
  <c r="U22"/>
  <c r="R22"/>
  <c r="O22"/>
  <c r="P22" s="1"/>
  <c r="L22"/>
  <c r="M22" s="1"/>
  <c r="J22"/>
  <c r="I22"/>
  <c r="F22"/>
  <c r="G22" s="1"/>
  <c r="C22"/>
  <c r="AX21"/>
  <c r="AW21"/>
  <c r="AJ21"/>
  <c r="AG21"/>
  <c r="AD21"/>
  <c r="AE21" s="1"/>
  <c r="AA21"/>
  <c r="AB21" s="1"/>
  <c r="X21"/>
  <c r="U21"/>
  <c r="V21" s="1"/>
  <c r="R21"/>
  <c r="O21"/>
  <c r="P21" s="1"/>
  <c r="L21"/>
  <c r="M21" s="1"/>
  <c r="I21"/>
  <c r="J21" s="1"/>
  <c r="F21"/>
  <c r="C21"/>
  <c r="D21" s="1"/>
  <c r="AX20"/>
  <c r="AW20"/>
  <c r="AJ20"/>
  <c r="AG20"/>
  <c r="AD20"/>
  <c r="AE20" s="1"/>
  <c r="AA20"/>
  <c r="AB20" s="1"/>
  <c r="X20"/>
  <c r="U20"/>
  <c r="V20" s="1"/>
  <c r="R20"/>
  <c r="O20"/>
  <c r="L20"/>
  <c r="M20" s="1"/>
  <c r="I20"/>
  <c r="J20" s="1"/>
  <c r="F20"/>
  <c r="C20"/>
  <c r="D20" s="1"/>
  <c r="AW19"/>
  <c r="AJ19"/>
  <c r="AG19"/>
  <c r="AE19"/>
  <c r="AD19"/>
  <c r="AB19"/>
  <c r="AA19"/>
  <c r="X19"/>
  <c r="U19"/>
  <c r="V19" s="1"/>
  <c r="R19"/>
  <c r="O19"/>
  <c r="M19"/>
  <c r="L19"/>
  <c r="J19"/>
  <c r="I19"/>
  <c r="G19"/>
  <c r="F19"/>
  <c r="D19"/>
  <c r="C19"/>
  <c r="AX18"/>
  <c r="AJ18"/>
  <c r="AG18"/>
  <c r="AD18"/>
  <c r="AE18" s="1"/>
  <c r="AA18"/>
  <c r="X18"/>
  <c r="V18"/>
  <c r="U18"/>
  <c r="R18"/>
  <c r="O18"/>
  <c r="P18" s="1"/>
  <c r="M18"/>
  <c r="L18"/>
  <c r="I18"/>
  <c r="F18"/>
  <c r="G18" s="1"/>
  <c r="C18"/>
  <c r="D18" s="1"/>
  <c r="AX17"/>
  <c r="AW17"/>
  <c r="AJ17"/>
  <c r="AG17"/>
  <c r="AD17"/>
  <c r="AE17" s="1"/>
  <c r="AA17"/>
  <c r="AB17" s="1"/>
  <c r="X17"/>
  <c r="U17"/>
  <c r="R17"/>
  <c r="O17"/>
  <c r="P17" s="1"/>
  <c r="L17"/>
  <c r="M17" s="1"/>
  <c r="I17"/>
  <c r="F17"/>
  <c r="G17" s="1"/>
  <c r="C17"/>
  <c r="D17" s="1"/>
  <c r="AX16"/>
  <c r="AW16"/>
  <c r="AJ16"/>
  <c r="AG16"/>
  <c r="AD16"/>
  <c r="AE16" s="1"/>
  <c r="AB16"/>
  <c r="AA16"/>
  <c r="X16"/>
  <c r="U16"/>
  <c r="V16" s="1"/>
  <c r="R16"/>
  <c r="O16"/>
  <c r="P16" s="1"/>
  <c r="L16"/>
  <c r="M16" s="1"/>
  <c r="I16"/>
  <c r="J16" s="1"/>
  <c r="G16"/>
  <c r="F16"/>
  <c r="C16"/>
  <c r="AX15"/>
  <c r="AW15"/>
  <c r="AJ15"/>
  <c r="AG15"/>
  <c r="AD15"/>
  <c r="AA15"/>
  <c r="AB15" s="1"/>
  <c r="X15"/>
  <c r="U15"/>
  <c r="R15"/>
  <c r="P15"/>
  <c r="O15"/>
  <c r="L15"/>
  <c r="M15" s="1"/>
  <c r="I15"/>
  <c r="G15"/>
  <c r="F15"/>
  <c r="D15"/>
  <c r="C15"/>
  <c r="AX14"/>
  <c r="AW14"/>
  <c r="AJ14"/>
  <c r="AG14"/>
  <c r="AD14"/>
  <c r="AA14"/>
  <c r="AB14" s="1"/>
  <c r="X14"/>
  <c r="U14"/>
  <c r="V14" s="1"/>
  <c r="R14"/>
  <c r="S14" s="1"/>
  <c r="O14"/>
  <c r="P14" s="1"/>
  <c r="L14"/>
  <c r="M14" s="1"/>
  <c r="I14"/>
  <c r="J14" s="1"/>
  <c r="F14"/>
  <c r="G14" s="1"/>
  <c r="C14"/>
  <c r="AX13"/>
  <c r="AW13"/>
  <c r="AJ13"/>
  <c r="AG13"/>
  <c r="AE13"/>
  <c r="AD13"/>
  <c r="AB13"/>
  <c r="AA13"/>
  <c r="X13"/>
  <c r="U13"/>
  <c r="V13" s="1"/>
  <c r="R13"/>
  <c r="S13" s="1"/>
  <c r="O13"/>
  <c r="L13"/>
  <c r="M13" s="1"/>
  <c r="I13"/>
  <c r="J13" s="1"/>
  <c r="F13"/>
  <c r="G13" s="1"/>
  <c r="C13"/>
  <c r="D13" s="1"/>
  <c r="AX12"/>
  <c r="AW12"/>
  <c r="AJ12"/>
  <c r="AG12"/>
  <c r="AD12"/>
  <c r="AE12" s="1"/>
  <c r="AA12"/>
  <c r="X12"/>
  <c r="U12"/>
  <c r="V12" s="1"/>
  <c r="R12"/>
  <c r="S12" s="1"/>
  <c r="O12"/>
  <c r="P12" s="1"/>
  <c r="L12"/>
  <c r="M12" s="1"/>
  <c r="I12"/>
  <c r="J12" s="1"/>
  <c r="F12"/>
  <c r="G12" s="1"/>
  <c r="C12"/>
  <c r="D12" s="1"/>
  <c r="AX11"/>
  <c r="AJ11"/>
  <c r="AH11"/>
  <c r="AW11" s="1"/>
  <c r="AG11"/>
  <c r="AD11"/>
  <c r="AE11" s="1"/>
  <c r="AA11"/>
  <c r="X11"/>
  <c r="Y11" s="1"/>
  <c r="U11"/>
  <c r="V11" s="1"/>
  <c r="AS11" s="1"/>
  <c r="R11"/>
  <c r="S11" s="1"/>
  <c r="O11"/>
  <c r="P11" s="1"/>
  <c r="L11"/>
  <c r="M11" s="1"/>
  <c r="I11"/>
  <c r="F11"/>
  <c r="G11" s="1"/>
  <c r="C11"/>
  <c r="D11" s="1"/>
  <c r="AX10"/>
  <c r="AJ10"/>
  <c r="AG10"/>
  <c r="AH10" s="1"/>
  <c r="AD10"/>
  <c r="AE10" s="1"/>
  <c r="AA10"/>
  <c r="Y10"/>
  <c r="X10"/>
  <c r="V10"/>
  <c r="AS10" s="1"/>
  <c r="U10"/>
  <c r="R10"/>
  <c r="O10"/>
  <c r="P10" s="1"/>
  <c r="L10"/>
  <c r="M10" s="1"/>
  <c r="I10"/>
  <c r="G10"/>
  <c r="F10"/>
  <c r="D10"/>
  <c r="C10"/>
  <c r="AX9"/>
  <c r="AJ9"/>
  <c r="AG9"/>
  <c r="AD9"/>
  <c r="AE9" s="1"/>
  <c r="AA9"/>
  <c r="AB9" s="1"/>
  <c r="X9"/>
  <c r="Y9" s="1"/>
  <c r="U9"/>
  <c r="R9"/>
  <c r="S9" s="1"/>
  <c r="O9"/>
  <c r="P9" s="1"/>
  <c r="L9"/>
  <c r="I9"/>
  <c r="F9"/>
  <c r="G9" s="1"/>
  <c r="C9"/>
  <c r="D9" s="1"/>
  <c r="AX8"/>
  <c r="AJ8"/>
  <c r="AG8"/>
  <c r="AH8" s="1"/>
  <c r="AD8"/>
  <c r="AA8"/>
  <c r="AB8" s="1"/>
  <c r="X8"/>
  <c r="Y8" s="1"/>
  <c r="U8"/>
  <c r="V8" s="1"/>
  <c r="AS8" s="1"/>
  <c r="S8"/>
  <c r="R8"/>
  <c r="O8"/>
  <c r="L8"/>
  <c r="J8"/>
  <c r="I8"/>
  <c r="G8"/>
  <c r="F8"/>
  <c r="C8"/>
  <c r="AX7"/>
  <c r="AQ7"/>
  <c r="AJ7"/>
  <c r="AG7"/>
  <c r="AD7"/>
  <c r="AB7"/>
  <c r="AA7"/>
  <c r="Y7"/>
  <c r="X7"/>
  <c r="V7"/>
  <c r="AS7" s="1"/>
  <c r="U7"/>
  <c r="S7"/>
  <c r="R7"/>
  <c r="O7"/>
  <c r="L7"/>
  <c r="M7" s="1"/>
  <c r="I7"/>
  <c r="J7" s="1"/>
  <c r="F7"/>
  <c r="C7"/>
  <c r="D7" s="1"/>
  <c r="AX6"/>
  <c r="AQ6"/>
  <c r="AQ36" s="1"/>
  <c r="AJ6"/>
  <c r="AG6"/>
  <c r="AH6" s="1"/>
  <c r="AD6"/>
  <c r="AE6" s="1"/>
  <c r="AA6"/>
  <c r="AB6" s="1"/>
  <c r="X6"/>
  <c r="U6"/>
  <c r="V6" s="1"/>
  <c r="AS6" s="1"/>
  <c r="R6"/>
  <c r="S6" s="1"/>
  <c r="O6"/>
  <c r="M6"/>
  <c r="L6"/>
  <c r="I6"/>
  <c r="F6"/>
  <c r="G6" s="1"/>
  <c r="D6"/>
  <c r="AM6" s="1"/>
  <c r="AM36" s="1"/>
  <c r="C6"/>
  <c r="AX5"/>
  <c r="AJ5"/>
  <c r="AG5"/>
  <c r="AD5"/>
  <c r="AE5" s="1"/>
  <c r="AA5"/>
  <c r="X5"/>
  <c r="Y5" s="1"/>
  <c r="U5"/>
  <c r="V5" s="1"/>
  <c r="AS5" s="1"/>
  <c r="R5"/>
  <c r="S5" s="1"/>
  <c r="O5"/>
  <c r="L5"/>
  <c r="M5" s="1"/>
  <c r="I5"/>
  <c r="F5"/>
  <c r="G5" s="1"/>
  <c r="C5"/>
  <c r="D5" s="1"/>
  <c r="B2"/>
  <c r="AT58" i="94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U35"/>
  <c r="V35" s="1"/>
  <c r="O35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O34"/>
  <c r="P34" s="1"/>
  <c r="L34"/>
  <c r="J34"/>
  <c r="I34"/>
  <c r="F34"/>
  <c r="C34"/>
  <c r="D34" s="1"/>
  <c r="AX33"/>
  <c r="AW33"/>
  <c r="AP33"/>
  <c r="AN33"/>
  <c r="AJ33"/>
  <c r="AG33"/>
  <c r="AE33"/>
  <c r="AD33"/>
  <c r="AA33"/>
  <c r="X33"/>
  <c r="Y33" s="1"/>
  <c r="AT33" s="1"/>
  <c r="U33"/>
  <c r="R33"/>
  <c r="S33" s="1"/>
  <c r="Q33"/>
  <c r="O33"/>
  <c r="P33" s="1"/>
  <c r="L33"/>
  <c r="I33"/>
  <c r="F33"/>
  <c r="C33"/>
  <c r="D33" s="1"/>
  <c r="AX32"/>
  <c r="AW32"/>
  <c r="AP32"/>
  <c r="AN32"/>
  <c r="AJ32"/>
  <c r="AG32"/>
  <c r="AD32"/>
  <c r="AB32"/>
  <c r="AA32"/>
  <c r="Y32"/>
  <c r="AT32" s="1"/>
  <c r="X32"/>
  <c r="V32"/>
  <c r="U32"/>
  <c r="R32"/>
  <c r="O32"/>
  <c r="P32" s="1"/>
  <c r="L32"/>
  <c r="I32"/>
  <c r="F32"/>
  <c r="C32"/>
  <c r="AX31"/>
  <c r="AW31"/>
  <c r="AP31"/>
  <c r="AN31"/>
  <c r="AJ31"/>
  <c r="AG31"/>
  <c r="AD31"/>
  <c r="AE31" s="1"/>
  <c r="AA31"/>
  <c r="Y31"/>
  <c r="AT31" s="1"/>
  <c r="X31"/>
  <c r="V31"/>
  <c r="U31"/>
  <c r="R31"/>
  <c r="O31"/>
  <c r="P31" s="1"/>
  <c r="L31"/>
  <c r="I31"/>
  <c r="J31" s="1"/>
  <c r="F31"/>
  <c r="C31"/>
  <c r="D31" s="1"/>
  <c r="AX30"/>
  <c r="AW30"/>
  <c r="AP30"/>
  <c r="AN30"/>
  <c r="AJ30"/>
  <c r="AG30"/>
  <c r="AD30"/>
  <c r="AB30"/>
  <c r="AA30"/>
  <c r="X30"/>
  <c r="U30"/>
  <c r="V30" s="1"/>
  <c r="R30"/>
  <c r="S30" s="1"/>
  <c r="AR30" s="1"/>
  <c r="O30"/>
  <c r="P30" s="1"/>
  <c r="L30"/>
  <c r="I30"/>
  <c r="J30" s="1"/>
  <c r="F30"/>
  <c r="C30"/>
  <c r="D30" s="1"/>
  <c r="AX29"/>
  <c r="AW29"/>
  <c r="AN29"/>
  <c r="AJ29"/>
  <c r="AG29"/>
  <c r="AD29"/>
  <c r="AE29" s="1"/>
  <c r="AA29"/>
  <c r="X29"/>
  <c r="U29"/>
  <c r="V29" s="1"/>
  <c r="R29"/>
  <c r="O29"/>
  <c r="P29" s="1"/>
  <c r="L29"/>
  <c r="I29"/>
  <c r="J29" s="1"/>
  <c r="F29"/>
  <c r="D29"/>
  <c r="C29"/>
  <c r="AX28"/>
  <c r="AW28"/>
  <c r="AR28"/>
  <c r="AP28"/>
  <c r="AN28"/>
  <c r="AJ28"/>
  <c r="AG28"/>
  <c r="AD28"/>
  <c r="AE28" s="1"/>
  <c r="AA28"/>
  <c r="X28"/>
  <c r="U28"/>
  <c r="V28" s="1"/>
  <c r="R28"/>
  <c r="P28"/>
  <c r="O28"/>
  <c r="L28"/>
  <c r="I28"/>
  <c r="J28" s="1"/>
  <c r="F28"/>
  <c r="C28"/>
  <c r="D28" s="1"/>
  <c r="AX27"/>
  <c r="AW27"/>
  <c r="AP27"/>
  <c r="AP36" s="1"/>
  <c r="AN27"/>
  <c r="AJ27"/>
  <c r="AG27"/>
  <c r="AD27"/>
  <c r="AE27" s="1"/>
  <c r="AA27"/>
  <c r="Y27"/>
  <c r="AT27" s="1"/>
  <c r="X27"/>
  <c r="V27"/>
  <c r="U27"/>
  <c r="R27"/>
  <c r="O27"/>
  <c r="P27" s="1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P26" s="1"/>
  <c r="L26"/>
  <c r="I26"/>
  <c r="F26"/>
  <c r="D26"/>
  <c r="C26"/>
  <c r="AX25"/>
  <c r="AW25"/>
  <c r="AN25"/>
  <c r="AJ25"/>
  <c r="AG25"/>
  <c r="AD25"/>
  <c r="AE25" s="1"/>
  <c r="AA25"/>
  <c r="AB25" s="1"/>
  <c r="X25"/>
  <c r="V25"/>
  <c r="U25"/>
  <c r="R25"/>
  <c r="O25"/>
  <c r="P25" s="1"/>
  <c r="L25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I24"/>
  <c r="J24" s="1"/>
  <c r="F24"/>
  <c r="C24"/>
  <c r="D24" s="1"/>
  <c r="AX23"/>
  <c r="AW23"/>
  <c r="AJ23"/>
  <c r="AG23"/>
  <c r="AD23"/>
  <c r="AB23"/>
  <c r="AA23"/>
  <c r="X23"/>
  <c r="U23"/>
  <c r="V23" s="1"/>
  <c r="R23"/>
  <c r="O23"/>
  <c r="P23" s="1"/>
  <c r="L23"/>
  <c r="I23"/>
  <c r="F23"/>
  <c r="G23" s="1"/>
  <c r="C23"/>
  <c r="AX22"/>
  <c r="AW22"/>
  <c r="AJ22"/>
  <c r="AG22"/>
  <c r="AE22"/>
  <c r="AD22"/>
  <c r="AB22"/>
  <c r="AA22"/>
  <c r="X22"/>
  <c r="U22"/>
  <c r="R22"/>
  <c r="O22"/>
  <c r="P22" s="1"/>
  <c r="L22"/>
  <c r="M22" s="1"/>
  <c r="I22"/>
  <c r="J22" s="1"/>
  <c r="F22"/>
  <c r="C22"/>
  <c r="D22" s="1"/>
  <c r="AX21"/>
  <c r="AW21"/>
  <c r="AJ21"/>
  <c r="AG21"/>
  <c r="AD21"/>
  <c r="AA21"/>
  <c r="AB21" s="1"/>
  <c r="X21"/>
  <c r="U21"/>
  <c r="V21" s="1"/>
  <c r="R21"/>
  <c r="O21"/>
  <c r="L21"/>
  <c r="M21" s="1"/>
  <c r="I21"/>
  <c r="J21" s="1"/>
  <c r="F21"/>
  <c r="G21" s="1"/>
  <c r="C21"/>
  <c r="AX20"/>
  <c r="AW20"/>
  <c r="AJ20"/>
  <c r="AG20"/>
  <c r="AD20"/>
  <c r="AE20" s="1"/>
  <c r="AA20"/>
  <c r="X20"/>
  <c r="U20"/>
  <c r="V20" s="1"/>
  <c r="R20"/>
  <c r="O20"/>
  <c r="L20"/>
  <c r="M20" s="1"/>
  <c r="I20"/>
  <c r="J20" s="1"/>
  <c r="F20"/>
  <c r="G20" s="1"/>
  <c r="C20"/>
  <c r="D20" s="1"/>
  <c r="AW19"/>
  <c r="AJ19"/>
  <c r="AG19"/>
  <c r="AD19"/>
  <c r="AE19" s="1"/>
  <c r="AA19"/>
  <c r="X19"/>
  <c r="U19"/>
  <c r="R19"/>
  <c r="O19"/>
  <c r="P19" s="1"/>
  <c r="L19"/>
  <c r="M19" s="1"/>
  <c r="I19"/>
  <c r="J19" s="1"/>
  <c r="F19"/>
  <c r="G19" s="1"/>
  <c r="C19"/>
  <c r="D19" s="1"/>
  <c r="AX18"/>
  <c r="AJ18"/>
  <c r="AG18"/>
  <c r="AD18"/>
  <c r="AA18"/>
  <c r="AB18" s="1"/>
  <c r="X18"/>
  <c r="U18"/>
  <c r="V18" s="1"/>
  <c r="R18"/>
  <c r="O18"/>
  <c r="L18"/>
  <c r="M18" s="1"/>
  <c r="I18"/>
  <c r="G18"/>
  <c r="F18"/>
  <c r="C18"/>
  <c r="AX17"/>
  <c r="AW17"/>
  <c r="AJ17"/>
  <c r="AG17"/>
  <c r="AD17"/>
  <c r="AE17" s="1"/>
  <c r="AA17"/>
  <c r="X17"/>
  <c r="U17"/>
  <c r="R17"/>
  <c r="O17"/>
  <c r="P17" s="1"/>
  <c r="L17"/>
  <c r="J17"/>
  <c r="I17"/>
  <c r="G17"/>
  <c r="F17"/>
  <c r="D17"/>
  <c r="C17"/>
  <c r="AX16"/>
  <c r="AW16"/>
  <c r="AJ16"/>
  <c r="AG16"/>
  <c r="AD16"/>
  <c r="AA16"/>
  <c r="AB16" s="1"/>
  <c r="X16"/>
  <c r="U16"/>
  <c r="V16" s="1"/>
  <c r="R16"/>
  <c r="O16"/>
  <c r="P16" s="1"/>
  <c r="L16"/>
  <c r="I16"/>
  <c r="F16"/>
  <c r="G16" s="1"/>
  <c r="C16"/>
  <c r="D16" s="1"/>
  <c r="AX15"/>
  <c r="AW15"/>
  <c r="AJ15"/>
  <c r="AG15"/>
  <c r="AD15"/>
  <c r="AE15" s="1"/>
  <c r="AA15"/>
  <c r="AB15" s="1"/>
  <c r="X15"/>
  <c r="U15"/>
  <c r="R15"/>
  <c r="O15"/>
  <c r="P15" s="1"/>
  <c r="L15"/>
  <c r="M15" s="1"/>
  <c r="I15"/>
  <c r="F15"/>
  <c r="G15" s="1"/>
  <c r="C15"/>
  <c r="D15" s="1"/>
  <c r="AX14"/>
  <c r="AW14"/>
  <c r="AJ14"/>
  <c r="AG14"/>
  <c r="AD14"/>
  <c r="AA14"/>
  <c r="X14"/>
  <c r="U14"/>
  <c r="V14" s="1"/>
  <c r="R14"/>
  <c r="S14" s="1"/>
  <c r="O14"/>
  <c r="P14" s="1"/>
  <c r="L14"/>
  <c r="M14" s="1"/>
  <c r="J14"/>
  <c r="I14"/>
  <c r="F14"/>
  <c r="C14"/>
  <c r="AX13"/>
  <c r="AW13"/>
  <c r="AJ13"/>
  <c r="AG13"/>
  <c r="AD13"/>
  <c r="AE13" s="1"/>
  <c r="AA13"/>
  <c r="AB13" s="1"/>
  <c r="X13"/>
  <c r="U13"/>
  <c r="V13" s="1"/>
  <c r="R13"/>
  <c r="S13" s="1"/>
  <c r="O13"/>
  <c r="L13"/>
  <c r="M13" s="1"/>
  <c r="I13"/>
  <c r="J13" s="1"/>
  <c r="F13"/>
  <c r="G13" s="1"/>
  <c r="C13"/>
  <c r="D13" s="1"/>
  <c r="AX12"/>
  <c r="AW12"/>
  <c r="AJ12"/>
  <c r="AG12"/>
  <c r="AD12"/>
  <c r="AE12" s="1"/>
  <c r="AA12"/>
  <c r="X12"/>
  <c r="U12"/>
  <c r="S12"/>
  <c r="R12"/>
  <c r="P12"/>
  <c r="O12"/>
  <c r="M12"/>
  <c r="L12"/>
  <c r="I12"/>
  <c r="F12"/>
  <c r="G12" s="1"/>
  <c r="C12"/>
  <c r="D12" s="1"/>
  <c r="AX11"/>
  <c r="AJ11"/>
  <c r="AG11"/>
  <c r="AH11" s="1"/>
  <c r="AW11" s="1"/>
  <c r="AD11"/>
  <c r="AA11"/>
  <c r="AB11" s="1"/>
  <c r="X11"/>
  <c r="Y11" s="1"/>
  <c r="U11"/>
  <c r="V11" s="1"/>
  <c r="AS11" s="1"/>
  <c r="R11"/>
  <c r="O11"/>
  <c r="P11" s="1"/>
  <c r="L11"/>
  <c r="I11"/>
  <c r="F11"/>
  <c r="G11" s="1"/>
  <c r="C11"/>
  <c r="D11" s="1"/>
  <c r="AX10"/>
  <c r="AJ10"/>
  <c r="AG10"/>
  <c r="AH10" s="1"/>
  <c r="AD10"/>
  <c r="AE10" s="1"/>
  <c r="AA10"/>
  <c r="X10"/>
  <c r="Y10" s="1"/>
  <c r="U10"/>
  <c r="V10" s="1"/>
  <c r="AS10" s="1"/>
  <c r="R10"/>
  <c r="O10"/>
  <c r="P10" s="1"/>
  <c r="L10"/>
  <c r="M10" s="1"/>
  <c r="J10"/>
  <c r="I10"/>
  <c r="F10"/>
  <c r="G10" s="1"/>
  <c r="C10"/>
  <c r="D10" s="1"/>
  <c r="AX9"/>
  <c r="AJ9"/>
  <c r="AG9"/>
  <c r="AD9"/>
  <c r="AA9"/>
  <c r="AB9" s="1"/>
  <c r="X9"/>
  <c r="Y9" s="1"/>
  <c r="V9"/>
  <c r="AS9" s="1"/>
  <c r="U9"/>
  <c r="R9"/>
  <c r="S9" s="1"/>
  <c r="O9"/>
  <c r="P9" s="1"/>
  <c r="L9"/>
  <c r="I9"/>
  <c r="F9"/>
  <c r="G9" s="1"/>
  <c r="C9"/>
  <c r="AX8"/>
  <c r="AJ8"/>
  <c r="AG8"/>
  <c r="AD8"/>
  <c r="AE8" s="1"/>
  <c r="AA8"/>
  <c r="AB8" s="1"/>
  <c r="X8"/>
  <c r="Y8" s="1"/>
  <c r="U8"/>
  <c r="R8"/>
  <c r="S8" s="1"/>
  <c r="O8"/>
  <c r="L8"/>
  <c r="M8" s="1"/>
  <c r="I8"/>
  <c r="J8" s="1"/>
  <c r="F8"/>
  <c r="G8" s="1"/>
  <c r="C8"/>
  <c r="D8" s="1"/>
  <c r="AX7"/>
  <c r="AQ7"/>
  <c r="AJ7"/>
  <c r="AG7"/>
  <c r="AD7"/>
  <c r="AA7"/>
  <c r="AB7" s="1"/>
  <c r="X7"/>
  <c r="U7"/>
  <c r="V7" s="1"/>
  <c r="AS7" s="1"/>
  <c r="R7"/>
  <c r="S7" s="1"/>
  <c r="O7"/>
  <c r="L7"/>
  <c r="M7" s="1"/>
  <c r="I7"/>
  <c r="J7" s="1"/>
  <c r="F7"/>
  <c r="C7"/>
  <c r="AX6"/>
  <c r="AX36" s="1"/>
  <c r="AQ6"/>
  <c r="AQ36" s="1"/>
  <c r="AJ6"/>
  <c r="AG6"/>
  <c r="AH6" s="1"/>
  <c r="AD6"/>
  <c r="AE6" s="1"/>
  <c r="AA6"/>
  <c r="X6"/>
  <c r="Y6" s="1"/>
  <c r="U6"/>
  <c r="V6" s="1"/>
  <c r="AS6" s="1"/>
  <c r="R6"/>
  <c r="S6" s="1"/>
  <c r="O6"/>
  <c r="L6"/>
  <c r="M6" s="1"/>
  <c r="I6"/>
  <c r="G6"/>
  <c r="F6"/>
  <c r="D6"/>
  <c r="AM6" s="1"/>
  <c r="AM36" s="1"/>
  <c r="C6"/>
  <c r="AX5"/>
  <c r="AJ5"/>
  <c r="AG5"/>
  <c r="AD5"/>
  <c r="AE5" s="1"/>
  <c r="AA5"/>
  <c r="X5"/>
  <c r="V5"/>
  <c r="U5"/>
  <c r="R5"/>
  <c r="O5"/>
  <c r="M5"/>
  <c r="L5"/>
  <c r="I5"/>
  <c r="F5"/>
  <c r="G5" s="1"/>
  <c r="C5"/>
  <c r="D5" s="1"/>
  <c r="B2"/>
  <c r="AT58" i="93"/>
  <c r="AS58"/>
  <c r="AR58"/>
  <c r="AQ58"/>
  <c r="AP58"/>
  <c r="AT57"/>
  <c r="AS57"/>
  <c r="AR57"/>
  <c r="AQ57"/>
  <c r="AP57"/>
  <c r="AO58" s="1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P35" s="1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O34"/>
  <c r="L34"/>
  <c r="J34"/>
  <c r="I34"/>
  <c r="F34"/>
  <c r="C34"/>
  <c r="D34" s="1"/>
  <c r="AX33"/>
  <c r="AW33"/>
  <c r="AP33"/>
  <c r="AN33"/>
  <c r="AJ33"/>
  <c r="AG33"/>
  <c r="AE33"/>
  <c r="AD33"/>
  <c r="AA33"/>
  <c r="X33"/>
  <c r="U33"/>
  <c r="V33" s="1"/>
  <c r="R33"/>
  <c r="S33" s="1"/>
  <c r="Q33"/>
  <c r="O33"/>
  <c r="P33" s="1"/>
  <c r="L33"/>
  <c r="I33"/>
  <c r="J33" s="1"/>
  <c r="F33"/>
  <c r="C33"/>
  <c r="D33" s="1"/>
  <c r="AX32"/>
  <c r="AW32"/>
  <c r="AP32"/>
  <c r="AN32"/>
  <c r="AJ32"/>
  <c r="AG32"/>
  <c r="AD32"/>
  <c r="AA32"/>
  <c r="AB32" s="1"/>
  <c r="X32"/>
  <c r="Y32" s="1"/>
  <c r="AT32" s="1"/>
  <c r="V32"/>
  <c r="U32"/>
  <c r="R32"/>
  <c r="S32" s="1"/>
  <c r="AR32" s="1"/>
  <c r="O32"/>
  <c r="P32" s="1"/>
  <c r="L32"/>
  <c r="I32"/>
  <c r="F32"/>
  <c r="C32"/>
  <c r="D32" s="1"/>
  <c r="AX31"/>
  <c r="AW31"/>
  <c r="AP31"/>
  <c r="AN31"/>
  <c r="AJ31"/>
  <c r="AG31"/>
  <c r="AD31"/>
  <c r="AE31" s="1"/>
  <c r="AA31"/>
  <c r="AB31" s="1"/>
  <c r="Y31"/>
  <c r="AT31" s="1"/>
  <c r="X31"/>
  <c r="U31"/>
  <c r="R31"/>
  <c r="O31"/>
  <c r="P31" s="1"/>
  <c r="L31"/>
  <c r="J31"/>
  <c r="I31"/>
  <c r="F31"/>
  <c r="C31"/>
  <c r="D31" s="1"/>
  <c r="AX30"/>
  <c r="AW30"/>
  <c r="AP30"/>
  <c r="AN30"/>
  <c r="AJ30"/>
  <c r="AG30"/>
  <c r="AD30"/>
  <c r="AA30"/>
  <c r="AB30" s="1"/>
  <c r="X30"/>
  <c r="Y30" s="1"/>
  <c r="AT30" s="1"/>
  <c r="U30"/>
  <c r="V30" s="1"/>
  <c r="R30"/>
  <c r="P30"/>
  <c r="O30"/>
  <c r="L30"/>
  <c r="I30"/>
  <c r="F30"/>
  <c r="C30"/>
  <c r="AX29"/>
  <c r="AW29"/>
  <c r="AN29"/>
  <c r="AJ29"/>
  <c r="AG29"/>
  <c r="AD29"/>
  <c r="AA29"/>
  <c r="X29"/>
  <c r="Y29" s="1"/>
  <c r="AT29" s="1"/>
  <c r="V29"/>
  <c r="U29"/>
  <c r="R29"/>
  <c r="S29" s="1"/>
  <c r="AR29" s="1"/>
  <c r="O29"/>
  <c r="P29" s="1"/>
  <c r="L29"/>
  <c r="I29"/>
  <c r="J29" s="1"/>
  <c r="F29"/>
  <c r="C29"/>
  <c r="D29" s="1"/>
  <c r="AX28"/>
  <c r="AW28"/>
  <c r="AR28"/>
  <c r="AP28"/>
  <c r="AN28"/>
  <c r="AJ28"/>
  <c r="AG28"/>
  <c r="AD28"/>
  <c r="AE28" s="1"/>
  <c r="AA28"/>
  <c r="AB28" s="1"/>
  <c r="X28"/>
  <c r="U28"/>
  <c r="V28" s="1"/>
  <c r="R28"/>
  <c r="O28"/>
  <c r="P28" s="1"/>
  <c r="L28"/>
  <c r="I28"/>
  <c r="J28" s="1"/>
  <c r="F28"/>
  <c r="C28"/>
  <c r="AX27"/>
  <c r="AW27"/>
  <c r="AP27"/>
  <c r="AP36" s="1"/>
  <c r="AN27"/>
  <c r="AJ27"/>
  <c r="AG27"/>
  <c r="AD27"/>
  <c r="AE27" s="1"/>
  <c r="AA27"/>
  <c r="AB27" s="1"/>
  <c r="X27"/>
  <c r="Y27" s="1"/>
  <c r="AT27" s="1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P26" s="1"/>
  <c r="L26"/>
  <c r="I26"/>
  <c r="J26" s="1"/>
  <c r="F26"/>
  <c r="D26"/>
  <c r="C26"/>
  <c r="AX25"/>
  <c r="AW25"/>
  <c r="AN25"/>
  <c r="AJ25"/>
  <c r="AG25"/>
  <c r="AD25"/>
  <c r="AE25" s="1"/>
  <c r="AA25"/>
  <c r="AB25" s="1"/>
  <c r="X25"/>
  <c r="U25"/>
  <c r="V25" s="1"/>
  <c r="R25"/>
  <c r="O25"/>
  <c r="L25"/>
  <c r="M25" s="1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J24"/>
  <c r="I24"/>
  <c r="F24"/>
  <c r="C24"/>
  <c r="D24" s="1"/>
  <c r="AX23"/>
  <c r="AW23"/>
  <c r="AJ23"/>
  <c r="AG23"/>
  <c r="AD23"/>
  <c r="AA23"/>
  <c r="AB23" s="1"/>
  <c r="X23"/>
  <c r="U23"/>
  <c r="R23"/>
  <c r="O23"/>
  <c r="P23" s="1"/>
  <c r="L23"/>
  <c r="I23"/>
  <c r="F23"/>
  <c r="C23"/>
  <c r="AX22"/>
  <c r="AW22"/>
  <c r="AJ22"/>
  <c r="AG22"/>
  <c r="AD22"/>
  <c r="AA22"/>
  <c r="AB22" s="1"/>
  <c r="X22"/>
  <c r="U22"/>
  <c r="R22"/>
  <c r="O22"/>
  <c r="P22" s="1"/>
  <c r="L22"/>
  <c r="I22"/>
  <c r="J22" s="1"/>
  <c r="F22"/>
  <c r="C22"/>
  <c r="AX21"/>
  <c r="AW21"/>
  <c r="AJ21"/>
  <c r="AG21"/>
  <c r="AD21"/>
  <c r="AA21"/>
  <c r="AB21" s="1"/>
  <c r="X21"/>
  <c r="U21"/>
  <c r="V21" s="1"/>
  <c r="R21"/>
  <c r="O21"/>
  <c r="P21" s="1"/>
  <c r="L21"/>
  <c r="M21" s="1"/>
  <c r="I21"/>
  <c r="J21" s="1"/>
  <c r="F21"/>
  <c r="C21"/>
  <c r="AX20"/>
  <c r="AW20"/>
  <c r="AJ20"/>
  <c r="AG20"/>
  <c r="AD20"/>
  <c r="AE20" s="1"/>
  <c r="AA20"/>
  <c r="AB20" s="1"/>
  <c r="X20"/>
  <c r="U20"/>
  <c r="V20" s="1"/>
  <c r="R20"/>
  <c r="O20"/>
  <c r="L20"/>
  <c r="M20" s="1"/>
  <c r="I20"/>
  <c r="J20" s="1"/>
  <c r="F20"/>
  <c r="D20"/>
  <c r="C20"/>
  <c r="AW19"/>
  <c r="AJ19"/>
  <c r="AG19"/>
  <c r="AD19"/>
  <c r="AE19" s="1"/>
  <c r="AA19"/>
  <c r="X19"/>
  <c r="U19"/>
  <c r="V19" s="1"/>
  <c r="R19"/>
  <c r="O19"/>
  <c r="L19"/>
  <c r="M19" s="1"/>
  <c r="I19"/>
  <c r="J19" s="1"/>
  <c r="F19"/>
  <c r="D19"/>
  <c r="C19"/>
  <c r="AX18"/>
  <c r="AJ18"/>
  <c r="AG18"/>
  <c r="AD18"/>
  <c r="AE18" s="1"/>
  <c r="AA18"/>
  <c r="X18"/>
  <c r="U18"/>
  <c r="V18" s="1"/>
  <c r="R18"/>
  <c r="O18"/>
  <c r="L18"/>
  <c r="M18" s="1"/>
  <c r="I18"/>
  <c r="F18"/>
  <c r="G18" s="1"/>
  <c r="C18"/>
  <c r="D18" s="1"/>
  <c r="AX17"/>
  <c r="AW17"/>
  <c r="AJ17"/>
  <c r="AG17"/>
  <c r="AD17"/>
  <c r="AE17" s="1"/>
  <c r="AA17"/>
  <c r="AB17" s="1"/>
  <c r="X17"/>
  <c r="U17"/>
  <c r="R17"/>
  <c r="O17"/>
  <c r="P17" s="1"/>
  <c r="L17"/>
  <c r="M17" s="1"/>
  <c r="I17"/>
  <c r="J17" s="1"/>
  <c r="F17"/>
  <c r="G17" s="1"/>
  <c r="C17"/>
  <c r="D17" s="1"/>
  <c r="AX16"/>
  <c r="AW16"/>
  <c r="AJ16"/>
  <c r="AG16"/>
  <c r="AD16"/>
  <c r="AB16"/>
  <c r="AA16"/>
  <c r="X16"/>
  <c r="U16"/>
  <c r="V16" s="1"/>
  <c r="R16"/>
  <c r="O16"/>
  <c r="P16" s="1"/>
  <c r="L16"/>
  <c r="I16"/>
  <c r="J16" s="1"/>
  <c r="G16"/>
  <c r="F16"/>
  <c r="C16"/>
  <c r="AX15"/>
  <c r="AW15"/>
  <c r="AJ15"/>
  <c r="AG15"/>
  <c r="AD15"/>
  <c r="AA15"/>
  <c r="AB15" s="1"/>
  <c r="X15"/>
  <c r="U15"/>
  <c r="R15"/>
  <c r="P15"/>
  <c r="O15"/>
  <c r="L15"/>
  <c r="I15"/>
  <c r="G15"/>
  <c r="F15"/>
  <c r="C15"/>
  <c r="AX14"/>
  <c r="AW14"/>
  <c r="AJ14"/>
  <c r="AG14"/>
  <c r="AD14"/>
  <c r="AA14"/>
  <c r="AB14" s="1"/>
  <c r="X14"/>
  <c r="V14"/>
  <c r="U14"/>
  <c r="R14"/>
  <c r="S14" s="1"/>
  <c r="O14"/>
  <c r="P14" s="1"/>
  <c r="L14"/>
  <c r="I14"/>
  <c r="J14" s="1"/>
  <c r="F14"/>
  <c r="C14"/>
  <c r="AX13"/>
  <c r="AW13"/>
  <c r="AJ13"/>
  <c r="AG13"/>
  <c r="AD13"/>
  <c r="AE13" s="1"/>
  <c r="AA13"/>
  <c r="AB13" s="1"/>
  <c r="X13"/>
  <c r="V13"/>
  <c r="U13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P12" s="1"/>
  <c r="L12"/>
  <c r="M12" s="1"/>
  <c r="I12"/>
  <c r="J12" s="1"/>
  <c r="F12"/>
  <c r="C12"/>
  <c r="D12" s="1"/>
  <c r="AX11"/>
  <c r="AJ11"/>
  <c r="AH11"/>
  <c r="AW11" s="1"/>
  <c r="AW36" s="1"/>
  <c r="AG11"/>
  <c r="AD11"/>
  <c r="AE11" s="1"/>
  <c r="AA11"/>
  <c r="X11"/>
  <c r="Y11" s="1"/>
  <c r="U11"/>
  <c r="V11" s="1"/>
  <c r="AS11" s="1"/>
  <c r="R11"/>
  <c r="S11" s="1"/>
  <c r="O11"/>
  <c r="L11"/>
  <c r="M11" s="1"/>
  <c r="I11"/>
  <c r="F11"/>
  <c r="G11" s="1"/>
  <c r="C11"/>
  <c r="D11" s="1"/>
  <c r="AX10"/>
  <c r="AJ10"/>
  <c r="AG10"/>
  <c r="AH10" s="1"/>
  <c r="AD10"/>
  <c r="AE10" s="1"/>
  <c r="AA10"/>
  <c r="X10"/>
  <c r="Y10" s="1"/>
  <c r="U10"/>
  <c r="R10"/>
  <c r="O10"/>
  <c r="P10" s="1"/>
  <c r="L10"/>
  <c r="M10" s="1"/>
  <c r="I10"/>
  <c r="F10"/>
  <c r="G10" s="1"/>
  <c r="D10"/>
  <c r="C10"/>
  <c r="AX9"/>
  <c r="AJ9"/>
  <c r="AG9"/>
  <c r="AD9"/>
  <c r="AB9"/>
  <c r="AA9"/>
  <c r="X9"/>
  <c r="Y9" s="1"/>
  <c r="U9"/>
  <c r="R9"/>
  <c r="S9" s="1"/>
  <c r="O9"/>
  <c r="P9" s="1"/>
  <c r="L9"/>
  <c r="I9"/>
  <c r="F9"/>
  <c r="G9" s="1"/>
  <c r="C9"/>
  <c r="AX8"/>
  <c r="AJ8"/>
  <c r="AG8"/>
  <c r="AH8" s="1"/>
  <c r="AD8"/>
  <c r="AA8"/>
  <c r="AB8" s="1"/>
  <c r="X8"/>
  <c r="Y8" s="1"/>
  <c r="U8"/>
  <c r="R8"/>
  <c r="S8" s="1"/>
  <c r="O8"/>
  <c r="L8"/>
  <c r="I8"/>
  <c r="J8" s="1"/>
  <c r="F8"/>
  <c r="G8" s="1"/>
  <c r="C8"/>
  <c r="AX7"/>
  <c r="AQ7"/>
  <c r="AJ7"/>
  <c r="AG7"/>
  <c r="AD7"/>
  <c r="AA7"/>
  <c r="AB7" s="1"/>
  <c r="X7"/>
  <c r="U7"/>
  <c r="V7" s="1"/>
  <c r="AS7" s="1"/>
  <c r="R7"/>
  <c r="S7" s="1"/>
  <c r="O7"/>
  <c r="L7"/>
  <c r="I7"/>
  <c r="J7" s="1"/>
  <c r="F7"/>
  <c r="C7"/>
  <c r="D7" s="1"/>
  <c r="AX6"/>
  <c r="AX36" s="1"/>
  <c r="AQ6"/>
  <c r="AQ36" s="1"/>
  <c r="AJ6"/>
  <c r="AG6"/>
  <c r="AE6"/>
  <c r="AD6"/>
  <c r="AA6"/>
  <c r="AB6" s="1"/>
  <c r="X6"/>
  <c r="U6"/>
  <c r="V6" s="1"/>
  <c r="AS6" s="1"/>
  <c r="R6"/>
  <c r="S6" s="1"/>
  <c r="O6"/>
  <c r="L6"/>
  <c r="M6" s="1"/>
  <c r="I6"/>
  <c r="F6"/>
  <c r="C6"/>
  <c r="D6" s="1"/>
  <c r="AM6" s="1"/>
  <c r="AM36" s="1"/>
  <c r="AX5"/>
  <c r="AJ5"/>
  <c r="AG5"/>
  <c r="AD5"/>
  <c r="AE5" s="1"/>
  <c r="AA5"/>
  <c r="X5"/>
  <c r="Y5" s="1"/>
  <c r="U5"/>
  <c r="V5" s="1"/>
  <c r="R5"/>
  <c r="S5" s="1"/>
  <c r="O5"/>
  <c r="L5"/>
  <c r="M5" s="1"/>
  <c r="I5"/>
  <c r="G5"/>
  <c r="F5"/>
  <c r="C5"/>
  <c r="D5" s="1"/>
  <c r="B2"/>
  <c r="AT58" i="92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U35"/>
  <c r="V35" s="1"/>
  <c r="O35"/>
  <c r="L35"/>
  <c r="J35"/>
  <c r="F35"/>
  <c r="AX34"/>
  <c r="AW34"/>
  <c r="AP34"/>
  <c r="AN34"/>
  <c r="AJ34"/>
  <c r="AG34"/>
  <c r="AD34"/>
  <c r="AE34" s="1"/>
  <c r="AA34"/>
  <c r="Y34"/>
  <c r="AT34" s="1"/>
  <c r="X34"/>
  <c r="U34"/>
  <c r="V34" s="1"/>
  <c r="O34"/>
  <c r="P34" s="1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S33"/>
  <c r="R33"/>
  <c r="Q33"/>
  <c r="O33"/>
  <c r="L33"/>
  <c r="I33"/>
  <c r="F33"/>
  <c r="C33"/>
  <c r="D33" s="1"/>
  <c r="AX32"/>
  <c r="AW32"/>
  <c r="AP32"/>
  <c r="AN32"/>
  <c r="AJ32"/>
  <c r="AG32"/>
  <c r="AD32"/>
  <c r="AA32"/>
  <c r="AB32" s="1"/>
  <c r="X32"/>
  <c r="Y32" s="1"/>
  <c r="AT32" s="1"/>
  <c r="U32"/>
  <c r="V32" s="1"/>
  <c r="R32"/>
  <c r="O32"/>
  <c r="L32"/>
  <c r="I32"/>
  <c r="F32"/>
  <c r="C32"/>
  <c r="AX31"/>
  <c r="AW31"/>
  <c r="AP31"/>
  <c r="AN31"/>
  <c r="AJ31"/>
  <c r="AG31"/>
  <c r="AD31"/>
  <c r="AE31" s="1"/>
  <c r="AA31"/>
  <c r="X31"/>
  <c r="Y31" s="1"/>
  <c r="AT31" s="1"/>
  <c r="U31"/>
  <c r="R31"/>
  <c r="O31"/>
  <c r="P31" s="1"/>
  <c r="L31"/>
  <c r="I31"/>
  <c r="F31"/>
  <c r="C31"/>
  <c r="D31" s="1"/>
  <c r="AX30"/>
  <c r="AW30"/>
  <c r="AP30"/>
  <c r="AN30"/>
  <c r="AJ30"/>
  <c r="AG30"/>
  <c r="AD30"/>
  <c r="AA30"/>
  <c r="AB30" s="1"/>
  <c r="X30"/>
  <c r="U30"/>
  <c r="R30"/>
  <c r="S30" s="1"/>
  <c r="AR30" s="1"/>
  <c r="O30"/>
  <c r="P30" s="1"/>
  <c r="L30"/>
  <c r="I30"/>
  <c r="F30"/>
  <c r="C30"/>
  <c r="AX29"/>
  <c r="AW29"/>
  <c r="AN29"/>
  <c r="AJ29"/>
  <c r="AG29"/>
  <c r="AD29"/>
  <c r="AA29"/>
  <c r="X29"/>
  <c r="U29"/>
  <c r="R29"/>
  <c r="O29"/>
  <c r="P29" s="1"/>
  <c r="L29"/>
  <c r="I29"/>
  <c r="J29" s="1"/>
  <c r="F29"/>
  <c r="C29"/>
  <c r="D29" s="1"/>
  <c r="AX28"/>
  <c r="AW28"/>
  <c r="AR28"/>
  <c r="AP28"/>
  <c r="AN28"/>
  <c r="AJ28"/>
  <c r="AG28"/>
  <c r="AD28"/>
  <c r="AE28" s="1"/>
  <c r="AA28"/>
  <c r="X28"/>
  <c r="U28"/>
  <c r="V28" s="1"/>
  <c r="R28"/>
  <c r="O28"/>
  <c r="P28" s="1"/>
  <c r="L28"/>
  <c r="I28"/>
  <c r="J28" s="1"/>
  <c r="F28"/>
  <c r="C28"/>
  <c r="AX27"/>
  <c r="AW27"/>
  <c r="AP27"/>
  <c r="AP36" s="1"/>
  <c r="AN27"/>
  <c r="AJ27"/>
  <c r="AG27"/>
  <c r="AD27"/>
  <c r="AE27" s="1"/>
  <c r="AA27"/>
  <c r="X27"/>
  <c r="Y27" s="1"/>
  <c r="AT27" s="1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V26"/>
  <c r="U26"/>
  <c r="R26"/>
  <c r="O26"/>
  <c r="L26"/>
  <c r="I26"/>
  <c r="F26"/>
  <c r="C26"/>
  <c r="D26" s="1"/>
  <c r="AX25"/>
  <c r="AW25"/>
  <c r="AN25"/>
  <c r="AN36" s="1"/>
  <c r="AJ25"/>
  <c r="AG25"/>
  <c r="AD25"/>
  <c r="AE25" s="1"/>
  <c r="AA25"/>
  <c r="X25"/>
  <c r="U25"/>
  <c r="V25" s="1"/>
  <c r="R25"/>
  <c r="O25"/>
  <c r="P25" s="1"/>
  <c r="L25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I24"/>
  <c r="F24"/>
  <c r="D24"/>
  <c r="C24"/>
  <c r="AX23"/>
  <c r="AW23"/>
  <c r="AJ23"/>
  <c r="AG23"/>
  <c r="AD23"/>
  <c r="AA23"/>
  <c r="AB23" s="1"/>
  <c r="X23"/>
  <c r="U23"/>
  <c r="V23" s="1"/>
  <c r="R23"/>
  <c r="O23"/>
  <c r="P23" s="1"/>
  <c r="L23"/>
  <c r="I23"/>
  <c r="F23"/>
  <c r="C23"/>
  <c r="AX22"/>
  <c r="AW22"/>
  <c r="AJ22"/>
  <c r="AG22"/>
  <c r="AD22"/>
  <c r="AA22"/>
  <c r="AB22" s="1"/>
  <c r="X22"/>
  <c r="U22"/>
  <c r="R22"/>
  <c r="P22"/>
  <c r="O22"/>
  <c r="M22"/>
  <c r="L22"/>
  <c r="J22"/>
  <c r="I22"/>
  <c r="F22"/>
  <c r="C22"/>
  <c r="D22" s="1"/>
  <c r="AX21"/>
  <c r="AW21"/>
  <c r="AJ21"/>
  <c r="AG21"/>
  <c r="AD21"/>
  <c r="AA21"/>
  <c r="AB21" s="1"/>
  <c r="X21"/>
  <c r="U21"/>
  <c r="V21" s="1"/>
  <c r="R21"/>
  <c r="O21"/>
  <c r="L21"/>
  <c r="M21" s="1"/>
  <c r="I21"/>
  <c r="J21" s="1"/>
  <c r="F21"/>
  <c r="C21"/>
  <c r="AX20"/>
  <c r="AW20"/>
  <c r="AJ20"/>
  <c r="AG20"/>
  <c r="AD20"/>
  <c r="AE20" s="1"/>
  <c r="AA20"/>
  <c r="X20"/>
  <c r="U20"/>
  <c r="V20" s="1"/>
  <c r="R20"/>
  <c r="O20"/>
  <c r="L20"/>
  <c r="M20" s="1"/>
  <c r="I20"/>
  <c r="J20" s="1"/>
  <c r="F20"/>
  <c r="C20"/>
  <c r="D20" s="1"/>
  <c r="AW19"/>
  <c r="AJ19"/>
  <c r="AG19"/>
  <c r="AE19"/>
  <c r="AD19"/>
  <c r="AA19"/>
  <c r="X19"/>
  <c r="U19"/>
  <c r="R19"/>
  <c r="O19"/>
  <c r="L19"/>
  <c r="M19" s="1"/>
  <c r="J19"/>
  <c r="I19"/>
  <c r="F19"/>
  <c r="C19"/>
  <c r="D19" s="1"/>
  <c r="AX18"/>
  <c r="AJ18"/>
  <c r="AG18"/>
  <c r="AD18"/>
  <c r="AA18"/>
  <c r="X18"/>
  <c r="U18"/>
  <c r="V18" s="1"/>
  <c r="R18"/>
  <c r="O18"/>
  <c r="L18"/>
  <c r="M18" s="1"/>
  <c r="I18"/>
  <c r="F18"/>
  <c r="G18" s="1"/>
  <c r="C18"/>
  <c r="AX17"/>
  <c r="AW17"/>
  <c r="AJ17"/>
  <c r="AG17"/>
  <c r="AE17"/>
  <c r="AD17"/>
  <c r="AA17"/>
  <c r="X17"/>
  <c r="V17"/>
  <c r="U17"/>
  <c r="R17"/>
  <c r="O17"/>
  <c r="P17" s="1"/>
  <c r="L17"/>
  <c r="I17"/>
  <c r="F17"/>
  <c r="G17" s="1"/>
  <c r="C17"/>
  <c r="D17" s="1"/>
  <c r="AX16"/>
  <c r="AW16"/>
  <c r="AJ16"/>
  <c r="AG16"/>
  <c r="AD16"/>
  <c r="AA16"/>
  <c r="AB16" s="1"/>
  <c r="X16"/>
  <c r="U16"/>
  <c r="V16" s="1"/>
  <c r="R16"/>
  <c r="O16"/>
  <c r="P16" s="1"/>
  <c r="L16"/>
  <c r="I16"/>
  <c r="F16"/>
  <c r="G16" s="1"/>
  <c r="C16"/>
  <c r="AX15"/>
  <c r="AW15"/>
  <c r="AJ15"/>
  <c r="AG15"/>
  <c r="AD15"/>
  <c r="AE15" s="1"/>
  <c r="AA15"/>
  <c r="AB15" s="1"/>
  <c r="X15"/>
  <c r="U15"/>
  <c r="R15"/>
  <c r="O15"/>
  <c r="P15" s="1"/>
  <c r="L15"/>
  <c r="M15" s="1"/>
  <c r="I15"/>
  <c r="F15"/>
  <c r="G15" s="1"/>
  <c r="C15"/>
  <c r="AX14"/>
  <c r="AW14"/>
  <c r="AJ14"/>
  <c r="AG14"/>
  <c r="AD14"/>
  <c r="AA14"/>
  <c r="X14"/>
  <c r="U14"/>
  <c r="V14" s="1"/>
  <c r="R14"/>
  <c r="S14" s="1"/>
  <c r="O14"/>
  <c r="P14" s="1"/>
  <c r="L14"/>
  <c r="J14"/>
  <c r="I14"/>
  <c r="F14"/>
  <c r="C14"/>
  <c r="AX13"/>
  <c r="AW13"/>
  <c r="AJ13"/>
  <c r="AG13"/>
  <c r="AD13"/>
  <c r="AE13" s="1"/>
  <c r="AA13"/>
  <c r="AB13" s="1"/>
  <c r="X13"/>
  <c r="U13"/>
  <c r="V13" s="1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R12"/>
  <c r="S12" s="1"/>
  <c r="O12"/>
  <c r="P12" s="1"/>
  <c r="L12"/>
  <c r="M12" s="1"/>
  <c r="I12"/>
  <c r="G12"/>
  <c r="F12"/>
  <c r="D12"/>
  <c r="C12"/>
  <c r="AX11"/>
  <c r="AJ11"/>
  <c r="AH11"/>
  <c r="AW11" s="1"/>
  <c r="AG11"/>
  <c r="AD11"/>
  <c r="AA11"/>
  <c r="Y11"/>
  <c r="X11"/>
  <c r="V11"/>
  <c r="AS11" s="1"/>
  <c r="U11"/>
  <c r="R11"/>
  <c r="O11"/>
  <c r="P11" s="1"/>
  <c r="L11"/>
  <c r="I11"/>
  <c r="F11"/>
  <c r="G11" s="1"/>
  <c r="C11"/>
  <c r="D11" s="1"/>
  <c r="AX10"/>
  <c r="AJ10"/>
  <c r="AG10"/>
  <c r="AH10" s="1"/>
  <c r="AD10"/>
  <c r="AE10" s="1"/>
  <c r="AA10"/>
  <c r="X10"/>
  <c r="Y10" s="1"/>
  <c r="U10"/>
  <c r="R10"/>
  <c r="P10"/>
  <c r="O10"/>
  <c r="L10"/>
  <c r="M10" s="1"/>
  <c r="I10"/>
  <c r="J10" s="1"/>
  <c r="F10"/>
  <c r="G10" s="1"/>
  <c r="C10"/>
  <c r="D10" s="1"/>
  <c r="AX9"/>
  <c r="AJ9"/>
  <c r="AG9"/>
  <c r="AD9"/>
  <c r="AA9"/>
  <c r="AB9" s="1"/>
  <c r="X9"/>
  <c r="Y9" s="1"/>
  <c r="U9"/>
  <c r="V9" s="1"/>
  <c r="AS9" s="1"/>
  <c r="R9"/>
  <c r="P9"/>
  <c r="O9"/>
  <c r="L9"/>
  <c r="I9"/>
  <c r="F9"/>
  <c r="G9" s="1"/>
  <c r="C9"/>
  <c r="AX8"/>
  <c r="AJ8"/>
  <c r="AG8"/>
  <c r="AD8"/>
  <c r="AE8" s="1"/>
  <c r="AA8"/>
  <c r="AB8" s="1"/>
  <c r="X8"/>
  <c r="Y8" s="1"/>
  <c r="U8"/>
  <c r="R8"/>
  <c r="S8" s="1"/>
  <c r="O8"/>
  <c r="L8"/>
  <c r="I8"/>
  <c r="J8" s="1"/>
  <c r="F8"/>
  <c r="G8" s="1"/>
  <c r="C8"/>
  <c r="AX7"/>
  <c r="AQ7"/>
  <c r="AJ7"/>
  <c r="AG7"/>
  <c r="AD7"/>
  <c r="AA7"/>
  <c r="AB7" s="1"/>
  <c r="X7"/>
  <c r="U7"/>
  <c r="V7" s="1"/>
  <c r="AS7" s="1"/>
  <c r="R7"/>
  <c r="S7" s="1"/>
  <c r="O7"/>
  <c r="L7"/>
  <c r="M7" s="1"/>
  <c r="I7"/>
  <c r="J7" s="1"/>
  <c r="F7"/>
  <c r="C7"/>
  <c r="AX6"/>
  <c r="AQ6"/>
  <c r="AQ36" s="1"/>
  <c r="AJ6"/>
  <c r="AG6"/>
  <c r="AD6"/>
  <c r="AE6" s="1"/>
  <c r="AA6"/>
  <c r="Y6"/>
  <c r="X6"/>
  <c r="V6"/>
  <c r="AS6" s="1"/>
  <c r="U6"/>
  <c r="S6"/>
  <c r="R6"/>
  <c r="O6"/>
  <c r="L6"/>
  <c r="M6" s="1"/>
  <c r="I6"/>
  <c r="F6"/>
  <c r="G6" s="1"/>
  <c r="C6"/>
  <c r="D6" s="1"/>
  <c r="AM6" s="1"/>
  <c r="AM36" s="1"/>
  <c r="AX5"/>
  <c r="AJ5"/>
  <c r="AG5"/>
  <c r="AD5"/>
  <c r="AE5" s="1"/>
  <c r="AA5"/>
  <c r="X5"/>
  <c r="U5"/>
  <c r="V5" s="1"/>
  <c r="AS5" s="1"/>
  <c r="R5"/>
  <c r="O5"/>
  <c r="L5"/>
  <c r="M5" s="1"/>
  <c r="I5"/>
  <c r="F5"/>
  <c r="C5"/>
  <c r="D5" s="1"/>
  <c r="B2"/>
  <c r="AT58" i="91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U35"/>
  <c r="V35" s="1"/>
  <c r="O35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O34"/>
  <c r="P34" s="1"/>
  <c r="L34"/>
  <c r="J34"/>
  <c r="I34"/>
  <c r="F34"/>
  <c r="C34"/>
  <c r="D34" s="1"/>
  <c r="AX33"/>
  <c r="AW33"/>
  <c r="AP33"/>
  <c r="AN33"/>
  <c r="AJ33"/>
  <c r="AG33"/>
  <c r="AE33"/>
  <c r="AD33"/>
  <c r="AA33"/>
  <c r="X33"/>
  <c r="Y33" s="1"/>
  <c r="AT33" s="1"/>
  <c r="U33"/>
  <c r="R33"/>
  <c r="S33" s="1"/>
  <c r="Q33"/>
  <c r="O33"/>
  <c r="L33"/>
  <c r="I33"/>
  <c r="F33"/>
  <c r="C33"/>
  <c r="D33" s="1"/>
  <c r="AX32"/>
  <c r="AW32"/>
  <c r="AP32"/>
  <c r="AN32"/>
  <c r="AJ32"/>
  <c r="AG32"/>
  <c r="AD32"/>
  <c r="AB32"/>
  <c r="AA32"/>
  <c r="Y32"/>
  <c r="AT32" s="1"/>
  <c r="X32"/>
  <c r="V32"/>
  <c r="U32"/>
  <c r="R32"/>
  <c r="O32"/>
  <c r="P32" s="1"/>
  <c r="L32"/>
  <c r="I32"/>
  <c r="F32"/>
  <c r="C32"/>
  <c r="AX31"/>
  <c r="AW31"/>
  <c r="AP31"/>
  <c r="AN31"/>
  <c r="AJ31"/>
  <c r="AG31"/>
  <c r="AD31"/>
  <c r="AE31" s="1"/>
  <c r="AA31"/>
  <c r="Y31"/>
  <c r="AT31" s="1"/>
  <c r="X31"/>
  <c r="V31"/>
  <c r="U31"/>
  <c r="R31"/>
  <c r="O31"/>
  <c r="P31" s="1"/>
  <c r="L31"/>
  <c r="I31"/>
  <c r="F31"/>
  <c r="C31"/>
  <c r="D31" s="1"/>
  <c r="AX30"/>
  <c r="AW30"/>
  <c r="AP30"/>
  <c r="AN30"/>
  <c r="AJ30"/>
  <c r="AG30"/>
  <c r="AD30"/>
  <c r="AA30"/>
  <c r="AB30" s="1"/>
  <c r="X30"/>
  <c r="U30"/>
  <c r="R30"/>
  <c r="P30"/>
  <c r="O30"/>
  <c r="L30"/>
  <c r="I30"/>
  <c r="J30" s="1"/>
  <c r="F30"/>
  <c r="C30"/>
  <c r="AX29"/>
  <c r="AW29"/>
  <c r="AN29"/>
  <c r="AJ29"/>
  <c r="AG29"/>
  <c r="AD29"/>
  <c r="AA29"/>
  <c r="X29"/>
  <c r="V29"/>
  <c r="U29"/>
  <c r="R29"/>
  <c r="O29"/>
  <c r="P29" s="1"/>
  <c r="L29"/>
  <c r="I29"/>
  <c r="J29" s="1"/>
  <c r="F29"/>
  <c r="C29"/>
  <c r="AX28"/>
  <c r="AW28"/>
  <c r="AR28"/>
  <c r="AP28"/>
  <c r="AN28"/>
  <c r="AJ28"/>
  <c r="AG28"/>
  <c r="AD28"/>
  <c r="AE28" s="1"/>
  <c r="AA28"/>
  <c r="X28"/>
  <c r="U28"/>
  <c r="V28" s="1"/>
  <c r="R28"/>
  <c r="O28"/>
  <c r="P28" s="1"/>
  <c r="L28"/>
  <c r="J28"/>
  <c r="I28"/>
  <c r="F28"/>
  <c r="C28"/>
  <c r="D28" s="1"/>
  <c r="AX27"/>
  <c r="AW27"/>
  <c r="AP27"/>
  <c r="AP36" s="1"/>
  <c r="AN27"/>
  <c r="AJ27"/>
  <c r="AG27"/>
  <c r="AE27"/>
  <c r="AD27"/>
  <c r="AA27"/>
  <c r="X27"/>
  <c r="V27"/>
  <c r="U27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L26"/>
  <c r="I26"/>
  <c r="F26"/>
  <c r="C26"/>
  <c r="D26" s="1"/>
  <c r="AX25"/>
  <c r="AW25"/>
  <c r="AN25"/>
  <c r="AN36" s="1"/>
  <c r="AJ25"/>
  <c r="AG25"/>
  <c r="AE25"/>
  <c r="AD25"/>
  <c r="AB25"/>
  <c r="AA25"/>
  <c r="X25"/>
  <c r="U25"/>
  <c r="V25" s="1"/>
  <c r="R25"/>
  <c r="O25"/>
  <c r="P25" s="1"/>
  <c r="L25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I24"/>
  <c r="F24"/>
  <c r="C24"/>
  <c r="D24" s="1"/>
  <c r="AX23"/>
  <c r="AW23"/>
  <c r="AJ23"/>
  <c r="AG23"/>
  <c r="AD23"/>
  <c r="AB23"/>
  <c r="AA23"/>
  <c r="X23"/>
  <c r="U23"/>
  <c r="R23"/>
  <c r="O23"/>
  <c r="P23" s="1"/>
  <c r="L23"/>
  <c r="I23"/>
  <c r="F23"/>
  <c r="G23" s="1"/>
  <c r="C23"/>
  <c r="AX22"/>
  <c r="AW22"/>
  <c r="AJ22"/>
  <c r="AG22"/>
  <c r="AE22"/>
  <c r="AD22"/>
  <c r="AB22"/>
  <c r="AA22"/>
  <c r="X22"/>
  <c r="U22"/>
  <c r="R22"/>
  <c r="O22"/>
  <c r="P22" s="1"/>
  <c r="L22"/>
  <c r="I22"/>
  <c r="J22" s="1"/>
  <c r="F22"/>
  <c r="C22"/>
  <c r="AX21"/>
  <c r="AW21"/>
  <c r="AJ21"/>
  <c r="AG21"/>
  <c r="AD21"/>
  <c r="AA21"/>
  <c r="AB21" s="1"/>
  <c r="X21"/>
  <c r="U21"/>
  <c r="V21" s="1"/>
  <c r="R21"/>
  <c r="O21"/>
  <c r="L21"/>
  <c r="M21" s="1"/>
  <c r="I21"/>
  <c r="J21" s="1"/>
  <c r="F21"/>
  <c r="C21"/>
  <c r="AX20"/>
  <c r="AW20"/>
  <c r="AJ20"/>
  <c r="AG20"/>
  <c r="AD20"/>
  <c r="AE20" s="1"/>
  <c r="AA20"/>
  <c r="X20"/>
  <c r="U20"/>
  <c r="V20" s="1"/>
  <c r="R20"/>
  <c r="O20"/>
  <c r="L20"/>
  <c r="M20" s="1"/>
  <c r="I20"/>
  <c r="J20" s="1"/>
  <c r="F20"/>
  <c r="D20"/>
  <c r="C20"/>
  <c r="AW19"/>
  <c r="AJ19"/>
  <c r="AG19"/>
  <c r="AD19"/>
  <c r="AE19" s="1"/>
  <c r="AA19"/>
  <c r="AB19" s="1"/>
  <c r="X19"/>
  <c r="U19"/>
  <c r="R19"/>
  <c r="O19"/>
  <c r="L19"/>
  <c r="M19" s="1"/>
  <c r="I19"/>
  <c r="J19" s="1"/>
  <c r="F19"/>
  <c r="G19" s="1"/>
  <c r="D19"/>
  <c r="C19"/>
  <c r="AX18"/>
  <c r="AJ18"/>
  <c r="AG18"/>
  <c r="AD18"/>
  <c r="AA18"/>
  <c r="X18"/>
  <c r="U18"/>
  <c r="V18" s="1"/>
  <c r="R18"/>
  <c r="O18"/>
  <c r="L18"/>
  <c r="M18" s="1"/>
  <c r="I18"/>
  <c r="F18"/>
  <c r="G18" s="1"/>
  <c r="C18"/>
  <c r="AX17"/>
  <c r="AW17"/>
  <c r="AJ17"/>
  <c r="AG17"/>
  <c r="AD17"/>
  <c r="AE17" s="1"/>
  <c r="AA17"/>
  <c r="X17"/>
  <c r="U17"/>
  <c r="R17"/>
  <c r="O17"/>
  <c r="P17" s="1"/>
  <c r="L17"/>
  <c r="I17"/>
  <c r="F17"/>
  <c r="G17" s="1"/>
  <c r="C17"/>
  <c r="D17" s="1"/>
  <c r="AX16"/>
  <c r="AW16"/>
  <c r="AJ16"/>
  <c r="AG16"/>
  <c r="AD16"/>
  <c r="AA16"/>
  <c r="AB16" s="1"/>
  <c r="X16"/>
  <c r="U16"/>
  <c r="R16"/>
  <c r="O16"/>
  <c r="P16" s="1"/>
  <c r="L16"/>
  <c r="I16"/>
  <c r="F16"/>
  <c r="G16" s="1"/>
  <c r="C16"/>
  <c r="D16" s="1"/>
  <c r="AX15"/>
  <c r="AW15"/>
  <c r="AJ15"/>
  <c r="AG15"/>
  <c r="AD15"/>
  <c r="AB15"/>
  <c r="AA15"/>
  <c r="X15"/>
  <c r="U15"/>
  <c r="R15"/>
  <c r="O15"/>
  <c r="P15" s="1"/>
  <c r="L15"/>
  <c r="I15"/>
  <c r="F15"/>
  <c r="G15" s="1"/>
  <c r="C15"/>
  <c r="AX14"/>
  <c r="AW14"/>
  <c r="AJ14"/>
  <c r="AG14"/>
  <c r="AD14"/>
  <c r="AA14"/>
  <c r="X14"/>
  <c r="U14"/>
  <c r="V14" s="1"/>
  <c r="R14"/>
  <c r="S14" s="1"/>
  <c r="O14"/>
  <c r="P14" s="1"/>
  <c r="L14"/>
  <c r="M14" s="1"/>
  <c r="I14"/>
  <c r="J14" s="1"/>
  <c r="F14"/>
  <c r="C14"/>
  <c r="AX13"/>
  <c r="AW13"/>
  <c r="AJ13"/>
  <c r="AG13"/>
  <c r="AD13"/>
  <c r="AE13" s="1"/>
  <c r="AB13"/>
  <c r="AA13"/>
  <c r="X13"/>
  <c r="U13"/>
  <c r="V13" s="1"/>
  <c r="R13"/>
  <c r="S13" s="1"/>
  <c r="O13"/>
  <c r="P13" s="1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R12"/>
  <c r="S12" s="1"/>
  <c r="O12"/>
  <c r="M12"/>
  <c r="L12"/>
  <c r="I12"/>
  <c r="F12"/>
  <c r="G12" s="1"/>
  <c r="C12"/>
  <c r="D12" s="1"/>
  <c r="AX11"/>
  <c r="AJ11"/>
  <c r="AG11"/>
  <c r="AH11" s="1"/>
  <c r="AW11" s="1"/>
  <c r="AW36" s="1"/>
  <c r="AD11"/>
  <c r="AA11"/>
  <c r="X11"/>
  <c r="Y11" s="1"/>
  <c r="U11"/>
  <c r="V11" s="1"/>
  <c r="AS11" s="1"/>
  <c r="R11"/>
  <c r="O11"/>
  <c r="P11" s="1"/>
  <c r="L11"/>
  <c r="I11"/>
  <c r="F11"/>
  <c r="G11" s="1"/>
  <c r="C11"/>
  <c r="D11" s="1"/>
  <c r="AX10"/>
  <c r="AJ10"/>
  <c r="AG10"/>
  <c r="AH10" s="1"/>
  <c r="AD10"/>
  <c r="AE10" s="1"/>
  <c r="AA10"/>
  <c r="X10"/>
  <c r="Y10" s="1"/>
  <c r="U10"/>
  <c r="R10"/>
  <c r="O10"/>
  <c r="P10" s="1"/>
  <c r="L10"/>
  <c r="M10" s="1"/>
  <c r="I10"/>
  <c r="F10"/>
  <c r="G10" s="1"/>
  <c r="D10"/>
  <c r="C10"/>
  <c r="AX9"/>
  <c r="AJ9"/>
  <c r="AG9"/>
  <c r="AD9"/>
  <c r="AB9"/>
  <c r="AA9"/>
  <c r="X9"/>
  <c r="Y9" s="1"/>
  <c r="U9"/>
  <c r="R9"/>
  <c r="S9" s="1"/>
  <c r="O9"/>
  <c r="P9" s="1"/>
  <c r="L9"/>
  <c r="I9"/>
  <c r="F9"/>
  <c r="G9" s="1"/>
  <c r="C9"/>
  <c r="AX8"/>
  <c r="AJ8"/>
  <c r="AG8"/>
  <c r="AD8"/>
  <c r="AA8"/>
  <c r="AB8" s="1"/>
  <c r="X8"/>
  <c r="Y8" s="1"/>
  <c r="U8"/>
  <c r="R8"/>
  <c r="S8" s="1"/>
  <c r="O8"/>
  <c r="L8"/>
  <c r="M8" s="1"/>
  <c r="I8"/>
  <c r="J8" s="1"/>
  <c r="F8"/>
  <c r="G8" s="1"/>
  <c r="C8"/>
  <c r="D8" s="1"/>
  <c r="AX7"/>
  <c r="AQ7"/>
  <c r="AJ7"/>
  <c r="AG7"/>
  <c r="AD7"/>
  <c r="AA7"/>
  <c r="AB7" s="1"/>
  <c r="X7"/>
  <c r="U7"/>
  <c r="V7" s="1"/>
  <c r="AS7" s="1"/>
  <c r="R7"/>
  <c r="S7" s="1"/>
  <c r="O7"/>
  <c r="L7"/>
  <c r="M7" s="1"/>
  <c r="I7"/>
  <c r="J7" s="1"/>
  <c r="F7"/>
  <c r="C7"/>
  <c r="AX6"/>
  <c r="AX36" s="1"/>
  <c r="AQ6"/>
  <c r="AQ36" s="1"/>
  <c r="AJ6"/>
  <c r="AG6"/>
  <c r="AH6" s="1"/>
  <c r="AD6"/>
  <c r="AE6" s="1"/>
  <c r="AA6"/>
  <c r="X6"/>
  <c r="U6"/>
  <c r="V6" s="1"/>
  <c r="AS6" s="1"/>
  <c r="R6"/>
  <c r="S6" s="1"/>
  <c r="O6"/>
  <c r="L6"/>
  <c r="M6" s="1"/>
  <c r="I6"/>
  <c r="F6"/>
  <c r="C6"/>
  <c r="D6" s="1"/>
  <c r="AM6" s="1"/>
  <c r="AM36" s="1"/>
  <c r="AX5"/>
  <c r="AJ5"/>
  <c r="AG5"/>
  <c r="AD5"/>
  <c r="AE5" s="1"/>
  <c r="AA5"/>
  <c r="X5"/>
  <c r="U5"/>
  <c r="V5" s="1"/>
  <c r="AS5" s="1"/>
  <c r="R5"/>
  <c r="O5"/>
  <c r="L5"/>
  <c r="M5" s="1"/>
  <c r="I5"/>
  <c r="G5"/>
  <c r="F5"/>
  <c r="D5"/>
  <c r="C5"/>
  <c r="B2"/>
  <c r="AT58" i="90"/>
  <c r="AS58"/>
  <c r="AR58"/>
  <c r="AQ58"/>
  <c r="AP58"/>
  <c r="AT57"/>
  <c r="AS57"/>
  <c r="AR57"/>
  <c r="AQ57"/>
  <c r="AP57"/>
  <c r="AO58" s="1"/>
  <c r="P48"/>
  <c r="M48"/>
  <c r="J48"/>
  <c r="G48"/>
  <c r="D48"/>
  <c r="P46"/>
  <c r="M46"/>
  <c r="J46"/>
  <c r="P47" s="1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P35" s="1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AB33" s="1"/>
  <c r="X33"/>
  <c r="Y33" s="1"/>
  <c r="AT33" s="1"/>
  <c r="U33"/>
  <c r="V33" s="1"/>
  <c r="R33"/>
  <c r="S33" s="1"/>
  <c r="Q33"/>
  <c r="O33"/>
  <c r="P33" s="1"/>
  <c r="L33"/>
  <c r="I33"/>
  <c r="J33" s="1"/>
  <c r="F33"/>
  <c r="C33"/>
  <c r="D33" s="1"/>
  <c r="AX32"/>
  <c r="AW32"/>
  <c r="AP32"/>
  <c r="AN32"/>
  <c r="AJ32"/>
  <c r="AG32"/>
  <c r="AD32"/>
  <c r="AA32"/>
  <c r="X32"/>
  <c r="Y32" s="1"/>
  <c r="AT32" s="1"/>
  <c r="U32"/>
  <c r="V32" s="1"/>
  <c r="R32"/>
  <c r="S32" s="1"/>
  <c r="AR32" s="1"/>
  <c r="O32"/>
  <c r="P32" s="1"/>
  <c r="L32"/>
  <c r="I32"/>
  <c r="J32" s="1"/>
  <c r="F32"/>
  <c r="C32"/>
  <c r="D32" s="1"/>
  <c r="AX31"/>
  <c r="AW31"/>
  <c r="AP31"/>
  <c r="AN31"/>
  <c r="AJ31"/>
  <c r="AG31"/>
  <c r="AD31"/>
  <c r="AE31" s="1"/>
  <c r="AA31"/>
  <c r="AB31" s="1"/>
  <c r="X31"/>
  <c r="Y31" s="1"/>
  <c r="AT31" s="1"/>
  <c r="U31"/>
  <c r="V31" s="1"/>
  <c r="R31"/>
  <c r="P31"/>
  <c r="O31"/>
  <c r="L31"/>
  <c r="I31"/>
  <c r="J31" s="1"/>
  <c r="F31"/>
  <c r="C31"/>
  <c r="D31" s="1"/>
  <c r="AX30"/>
  <c r="AW30"/>
  <c r="AP30"/>
  <c r="AN30"/>
  <c r="AJ30"/>
  <c r="AG30"/>
  <c r="AD30"/>
  <c r="AE30" s="1"/>
  <c r="AA30"/>
  <c r="AB30" s="1"/>
  <c r="X30"/>
  <c r="Y30" s="1"/>
  <c r="AT30" s="1"/>
  <c r="U30"/>
  <c r="V30" s="1"/>
  <c r="R30"/>
  <c r="O30"/>
  <c r="P30" s="1"/>
  <c r="L30"/>
  <c r="I30"/>
  <c r="J30" s="1"/>
  <c r="F30"/>
  <c r="C30"/>
  <c r="AX29"/>
  <c r="AW29"/>
  <c r="AN29"/>
  <c r="AJ29"/>
  <c r="AG29"/>
  <c r="AD29"/>
  <c r="AE29" s="1"/>
  <c r="AA29"/>
  <c r="X29"/>
  <c r="Y29" s="1"/>
  <c r="AT29" s="1"/>
  <c r="U29"/>
  <c r="V29" s="1"/>
  <c r="R29"/>
  <c r="S29" s="1"/>
  <c r="AR29" s="1"/>
  <c r="O29"/>
  <c r="P29" s="1"/>
  <c r="L29"/>
  <c r="I29"/>
  <c r="J29" s="1"/>
  <c r="F29"/>
  <c r="C29"/>
  <c r="D29" s="1"/>
  <c r="AX28"/>
  <c r="AW28"/>
  <c r="AR28"/>
  <c r="AP28"/>
  <c r="AN28"/>
  <c r="AJ28"/>
  <c r="AG28"/>
  <c r="AD28"/>
  <c r="AE28" s="1"/>
  <c r="AA28"/>
  <c r="AB28" s="1"/>
  <c r="X28"/>
  <c r="U28"/>
  <c r="V28" s="1"/>
  <c r="R28"/>
  <c r="O28"/>
  <c r="P28" s="1"/>
  <c r="L28"/>
  <c r="I28"/>
  <c r="J28" s="1"/>
  <c r="F28"/>
  <c r="C28"/>
  <c r="D28" s="1"/>
  <c r="AX27"/>
  <c r="AW27"/>
  <c r="AP27"/>
  <c r="AP36" s="1"/>
  <c r="AN27"/>
  <c r="AN36" s="1"/>
  <c r="AJ27"/>
  <c r="AG27"/>
  <c r="AD27"/>
  <c r="AE27" s="1"/>
  <c r="AA27"/>
  <c r="AB27" s="1"/>
  <c r="X27"/>
  <c r="V27"/>
  <c r="U27"/>
  <c r="R27"/>
  <c r="O27"/>
  <c r="P27" s="1"/>
  <c r="L27"/>
  <c r="I27"/>
  <c r="J27" s="1"/>
  <c r="F27"/>
  <c r="C27"/>
  <c r="D27" s="1"/>
  <c r="AX26"/>
  <c r="AW26"/>
  <c r="AT26"/>
  <c r="AN26"/>
  <c r="AJ26"/>
  <c r="AG26"/>
  <c r="AD26"/>
  <c r="AE26" s="1"/>
  <c r="AA26"/>
  <c r="AB26" s="1"/>
  <c r="X26"/>
  <c r="U26"/>
  <c r="V26" s="1"/>
  <c r="R26"/>
  <c r="O26"/>
  <c r="P26" s="1"/>
  <c r="L26"/>
  <c r="I26"/>
  <c r="J26" s="1"/>
  <c r="F26"/>
  <c r="C26"/>
  <c r="D26" s="1"/>
  <c r="AX25"/>
  <c r="AW25"/>
  <c r="AN25"/>
  <c r="AJ25"/>
  <c r="AG25"/>
  <c r="AE25"/>
  <c r="AD25"/>
  <c r="AA25"/>
  <c r="X25"/>
  <c r="U25"/>
  <c r="V25" s="1"/>
  <c r="R25"/>
  <c r="P25"/>
  <c r="O25"/>
  <c r="M25"/>
  <c r="L25"/>
  <c r="I25"/>
  <c r="F25"/>
  <c r="C25"/>
  <c r="D25" s="1"/>
  <c r="AX24"/>
  <c r="AW24"/>
  <c r="AJ24"/>
  <c r="AG24"/>
  <c r="AD24"/>
  <c r="AE24" s="1"/>
  <c r="AA24"/>
  <c r="AB24" s="1"/>
  <c r="X24"/>
  <c r="V24"/>
  <c r="U24"/>
  <c r="R24"/>
  <c r="O24"/>
  <c r="P24" s="1"/>
  <c r="L24"/>
  <c r="M24" s="1"/>
  <c r="I24"/>
  <c r="F24"/>
  <c r="C24"/>
  <c r="AX23"/>
  <c r="AW23"/>
  <c r="AJ23"/>
  <c r="AG23"/>
  <c r="AD23"/>
  <c r="AA23"/>
  <c r="AB23" s="1"/>
  <c r="X23"/>
  <c r="U23"/>
  <c r="R23"/>
  <c r="O23"/>
  <c r="P23" s="1"/>
  <c r="L23"/>
  <c r="I23"/>
  <c r="J23" s="1"/>
  <c r="F23"/>
  <c r="G23" s="1"/>
  <c r="C23"/>
  <c r="D23" s="1"/>
  <c r="AX22"/>
  <c r="AW22"/>
  <c r="AJ22"/>
  <c r="AG22"/>
  <c r="AD22"/>
  <c r="AB22"/>
  <c r="AA22"/>
  <c r="X22"/>
  <c r="U22"/>
  <c r="V22" s="1"/>
  <c r="R22"/>
  <c r="O22"/>
  <c r="P22" s="1"/>
  <c r="L22"/>
  <c r="I22"/>
  <c r="J22" s="1"/>
  <c r="F22"/>
  <c r="G22" s="1"/>
  <c r="C22"/>
  <c r="D22" s="1"/>
  <c r="AX21"/>
  <c r="AW21"/>
  <c r="AJ21"/>
  <c r="AG21"/>
  <c r="AD21"/>
  <c r="AE21" s="1"/>
  <c r="AA21"/>
  <c r="AB21" s="1"/>
  <c r="X21"/>
  <c r="U21"/>
  <c r="V21" s="1"/>
  <c r="R21"/>
  <c r="O21"/>
  <c r="P21" s="1"/>
  <c r="L21"/>
  <c r="M21" s="1"/>
  <c r="I21"/>
  <c r="J21" s="1"/>
  <c r="F21"/>
  <c r="D21"/>
  <c r="C21"/>
  <c r="AX20"/>
  <c r="AW20"/>
  <c r="AJ20"/>
  <c r="AG20"/>
  <c r="AE20"/>
  <c r="AD20"/>
  <c r="AB20"/>
  <c r="AA20"/>
  <c r="X20"/>
  <c r="U20"/>
  <c r="V20" s="1"/>
  <c r="R20"/>
  <c r="O20"/>
  <c r="M20"/>
  <c r="L20"/>
  <c r="J20"/>
  <c r="I20"/>
  <c r="F20"/>
  <c r="C20"/>
  <c r="D20" s="1"/>
  <c r="AW19"/>
  <c r="AJ19"/>
  <c r="AG19"/>
  <c r="AD19"/>
  <c r="AE19" s="1"/>
  <c r="AA19"/>
  <c r="AB19" s="1"/>
  <c r="X19"/>
  <c r="U19"/>
  <c r="V19" s="1"/>
  <c r="R19"/>
  <c r="O19"/>
  <c r="P19" s="1"/>
  <c r="L19"/>
  <c r="M19" s="1"/>
  <c r="I19"/>
  <c r="J19" s="1"/>
  <c r="F19"/>
  <c r="G19" s="1"/>
  <c r="C19"/>
  <c r="D19" s="1"/>
  <c r="AX18"/>
  <c r="AJ18"/>
  <c r="AG18"/>
  <c r="AE18"/>
  <c r="AD18"/>
  <c r="AA18"/>
  <c r="X18"/>
  <c r="U18"/>
  <c r="V18" s="1"/>
  <c r="R18"/>
  <c r="P18"/>
  <c r="O18"/>
  <c r="M18"/>
  <c r="L18"/>
  <c r="I18"/>
  <c r="F18"/>
  <c r="G18" s="1"/>
  <c r="C18"/>
  <c r="D18" s="1"/>
  <c r="AX17"/>
  <c r="AW17"/>
  <c r="AJ17"/>
  <c r="AG17"/>
  <c r="AD17"/>
  <c r="AE17" s="1"/>
  <c r="AA17"/>
  <c r="AB17" s="1"/>
  <c r="X17"/>
  <c r="U17"/>
  <c r="R17"/>
  <c r="P17"/>
  <c r="O17"/>
  <c r="M17"/>
  <c r="L17"/>
  <c r="J17"/>
  <c r="I17"/>
  <c r="G17"/>
  <c r="F17"/>
  <c r="D17"/>
  <c r="C17"/>
  <c r="AX16"/>
  <c r="AW16"/>
  <c r="AJ16"/>
  <c r="AG16"/>
  <c r="AD16"/>
  <c r="AA16"/>
  <c r="AB16" s="1"/>
  <c r="X16"/>
  <c r="U16"/>
  <c r="R16"/>
  <c r="O16"/>
  <c r="P16" s="1"/>
  <c r="L16"/>
  <c r="I16"/>
  <c r="J16" s="1"/>
  <c r="F16"/>
  <c r="G16" s="1"/>
  <c r="C16"/>
  <c r="D16" s="1"/>
  <c r="AX15"/>
  <c r="AW15"/>
  <c r="AJ15"/>
  <c r="AG15"/>
  <c r="AD15"/>
  <c r="AB15"/>
  <c r="AA15"/>
  <c r="X15"/>
  <c r="U15"/>
  <c r="V15" s="1"/>
  <c r="R15"/>
  <c r="O15"/>
  <c r="P15" s="1"/>
  <c r="L15"/>
  <c r="I15"/>
  <c r="F15"/>
  <c r="G15" s="1"/>
  <c r="C15"/>
  <c r="AX14"/>
  <c r="AW14"/>
  <c r="AJ14"/>
  <c r="AG14"/>
  <c r="AD14"/>
  <c r="AA14"/>
  <c r="AB14" s="1"/>
  <c r="X14"/>
  <c r="U14"/>
  <c r="V14" s="1"/>
  <c r="R14"/>
  <c r="S14" s="1"/>
  <c r="O14"/>
  <c r="P14" s="1"/>
  <c r="L14"/>
  <c r="M14" s="1"/>
  <c r="I14"/>
  <c r="J14" s="1"/>
  <c r="F14"/>
  <c r="C14"/>
  <c r="D14" s="1"/>
  <c r="AX13"/>
  <c r="AW13"/>
  <c r="AJ13"/>
  <c r="AG13"/>
  <c r="AD13"/>
  <c r="AE13" s="1"/>
  <c r="AA13"/>
  <c r="AB13" s="1"/>
  <c r="X13"/>
  <c r="U13"/>
  <c r="V13" s="1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L12"/>
  <c r="M12" s="1"/>
  <c r="I12"/>
  <c r="J12" s="1"/>
  <c r="F12"/>
  <c r="G12" s="1"/>
  <c r="C12"/>
  <c r="D12" s="1"/>
  <c r="AX11"/>
  <c r="AJ11"/>
  <c r="AG11"/>
  <c r="AH11" s="1"/>
  <c r="AW11" s="1"/>
  <c r="AD11"/>
  <c r="AE11" s="1"/>
  <c r="AA11"/>
  <c r="AB11" s="1"/>
  <c r="X11"/>
  <c r="Y11" s="1"/>
  <c r="U11"/>
  <c r="V11" s="1"/>
  <c r="AS11" s="1"/>
  <c r="R11"/>
  <c r="S11" s="1"/>
  <c r="O11"/>
  <c r="P11" s="1"/>
  <c r="L11"/>
  <c r="M11" s="1"/>
  <c r="I11"/>
  <c r="F11"/>
  <c r="G11" s="1"/>
  <c r="C11"/>
  <c r="D11" s="1"/>
  <c r="AX10"/>
  <c r="AJ10"/>
  <c r="AG10"/>
  <c r="AH10" s="1"/>
  <c r="AD10"/>
  <c r="AE10" s="1"/>
  <c r="AA10"/>
  <c r="AB10" s="1"/>
  <c r="X10"/>
  <c r="Y10" s="1"/>
  <c r="U10"/>
  <c r="R10"/>
  <c r="O10"/>
  <c r="P10" s="1"/>
  <c r="L10"/>
  <c r="M10" s="1"/>
  <c r="I10"/>
  <c r="F10"/>
  <c r="G10" s="1"/>
  <c r="C10"/>
  <c r="D10" s="1"/>
  <c r="AX9"/>
  <c r="AJ9"/>
  <c r="AG9"/>
  <c r="AD9"/>
  <c r="AE9" s="1"/>
  <c r="AA9"/>
  <c r="AB9" s="1"/>
  <c r="X9"/>
  <c r="Y9" s="1"/>
  <c r="U9"/>
  <c r="V9" s="1"/>
  <c r="AS9" s="1"/>
  <c r="R9"/>
  <c r="S9" s="1"/>
  <c r="O9"/>
  <c r="P9" s="1"/>
  <c r="L9"/>
  <c r="I9"/>
  <c r="J9" s="1"/>
  <c r="F9"/>
  <c r="G9" s="1"/>
  <c r="C9"/>
  <c r="D9" s="1"/>
  <c r="AX8"/>
  <c r="AJ8"/>
  <c r="AG8"/>
  <c r="AH8" s="1"/>
  <c r="AD8"/>
  <c r="AB8"/>
  <c r="AA8"/>
  <c r="Y8"/>
  <c r="X8"/>
  <c r="V8"/>
  <c r="AS8" s="1"/>
  <c r="U8"/>
  <c r="S8"/>
  <c r="R8"/>
  <c r="O8"/>
  <c r="L8"/>
  <c r="I8"/>
  <c r="J8" s="1"/>
  <c r="F8"/>
  <c r="G8" s="1"/>
  <c r="C8"/>
  <c r="D8" s="1"/>
  <c r="AX7"/>
  <c r="AQ7"/>
  <c r="AJ7"/>
  <c r="AG7"/>
  <c r="AD7"/>
  <c r="AE7" s="1"/>
  <c r="AA7"/>
  <c r="AB7" s="1"/>
  <c r="X7"/>
  <c r="U7"/>
  <c r="V7" s="1"/>
  <c r="AS7" s="1"/>
  <c r="R7"/>
  <c r="S7" s="1"/>
  <c r="O7"/>
  <c r="L7"/>
  <c r="M7" s="1"/>
  <c r="I7"/>
  <c r="J7" s="1"/>
  <c r="F7"/>
  <c r="D7"/>
  <c r="C7"/>
  <c r="AX6"/>
  <c r="AQ6"/>
  <c r="AQ36" s="1"/>
  <c r="AJ6"/>
  <c r="AG6"/>
  <c r="AE6"/>
  <c r="AD6"/>
  <c r="AB6"/>
  <c r="AU6" s="1"/>
  <c r="AU36" s="1"/>
  <c r="AA6"/>
  <c r="Y6"/>
  <c r="X6"/>
  <c r="V6"/>
  <c r="AS6" s="1"/>
  <c r="U6"/>
  <c r="S6"/>
  <c r="R6"/>
  <c r="O6"/>
  <c r="L6"/>
  <c r="M6" s="1"/>
  <c r="I6"/>
  <c r="F6"/>
  <c r="G6" s="1"/>
  <c r="C6"/>
  <c r="D6" s="1"/>
  <c r="AM6" s="1"/>
  <c r="AM36" s="1"/>
  <c r="AX5"/>
  <c r="AJ5"/>
  <c r="AG5"/>
  <c r="AH5" s="1"/>
  <c r="AD5"/>
  <c r="AE5" s="1"/>
  <c r="AA5"/>
  <c r="Y5"/>
  <c r="X5"/>
  <c r="V5"/>
  <c r="U5"/>
  <c r="S5"/>
  <c r="R5"/>
  <c r="O5"/>
  <c r="L5"/>
  <c r="M5" s="1"/>
  <c r="I5"/>
  <c r="F5"/>
  <c r="G5" s="1"/>
  <c r="C5"/>
  <c r="D5" s="1"/>
  <c r="B2"/>
  <c r="AT58" i="89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29" s="1"/>
  <c r="D46"/>
  <c r="AI44"/>
  <c r="AV36"/>
  <c r="AO36"/>
  <c r="AK36"/>
  <c r="AX35"/>
  <c r="AW35"/>
  <c r="AP35"/>
  <c r="AN35"/>
  <c r="AJ35"/>
  <c r="AG35"/>
  <c r="AA35"/>
  <c r="U35"/>
  <c r="V35" s="1"/>
  <c r="O35"/>
  <c r="L35"/>
  <c r="J35"/>
  <c r="F35"/>
  <c r="AX34"/>
  <c r="AW34"/>
  <c r="AP34"/>
  <c r="AN34"/>
  <c r="AJ34"/>
  <c r="AG34"/>
  <c r="AD34"/>
  <c r="AE34" s="1"/>
  <c r="AA34"/>
  <c r="Y34"/>
  <c r="AT34" s="1"/>
  <c r="X34"/>
  <c r="U34"/>
  <c r="V34" s="1"/>
  <c r="O34"/>
  <c r="P34" s="1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S33"/>
  <c r="R33"/>
  <c r="Q33"/>
  <c r="O33"/>
  <c r="L33"/>
  <c r="I33"/>
  <c r="F33"/>
  <c r="C33"/>
  <c r="D33" s="1"/>
  <c r="AX32"/>
  <c r="AW32"/>
  <c r="AP32"/>
  <c r="AN32"/>
  <c r="AJ32"/>
  <c r="AG32"/>
  <c r="AD32"/>
  <c r="AA32"/>
  <c r="AB32" s="1"/>
  <c r="X32"/>
  <c r="Y32" s="1"/>
  <c r="AT32" s="1"/>
  <c r="U32"/>
  <c r="V32" s="1"/>
  <c r="R32"/>
  <c r="O32"/>
  <c r="P32" s="1"/>
  <c r="L32"/>
  <c r="I32"/>
  <c r="F32"/>
  <c r="C32"/>
  <c r="AX31"/>
  <c r="AW31"/>
  <c r="AP31"/>
  <c r="AN31"/>
  <c r="AJ31"/>
  <c r="AG31"/>
  <c r="AD31"/>
  <c r="AE31" s="1"/>
  <c r="AA31"/>
  <c r="X31"/>
  <c r="Y31" s="1"/>
  <c r="AT31" s="1"/>
  <c r="U31"/>
  <c r="R31"/>
  <c r="O31"/>
  <c r="P31" s="1"/>
  <c r="L31"/>
  <c r="I31"/>
  <c r="F31"/>
  <c r="C31"/>
  <c r="D31" s="1"/>
  <c r="AX30"/>
  <c r="AW30"/>
  <c r="AP30"/>
  <c r="AN30"/>
  <c r="AJ30"/>
  <c r="AG30"/>
  <c r="AD30"/>
  <c r="AB30"/>
  <c r="AA30"/>
  <c r="X30"/>
  <c r="U30"/>
  <c r="R30"/>
  <c r="O30"/>
  <c r="P30" s="1"/>
  <c r="L30"/>
  <c r="I30"/>
  <c r="J30" s="1"/>
  <c r="F30"/>
  <c r="C30"/>
  <c r="AX29"/>
  <c r="AW29"/>
  <c r="AN29"/>
  <c r="AJ29"/>
  <c r="AG29"/>
  <c r="AD29"/>
  <c r="AA29"/>
  <c r="X29"/>
  <c r="U29"/>
  <c r="V29" s="1"/>
  <c r="R29"/>
  <c r="P29"/>
  <c r="O29"/>
  <c r="L29"/>
  <c r="I29"/>
  <c r="J29" s="1"/>
  <c r="F29"/>
  <c r="C29"/>
  <c r="AX28"/>
  <c r="AW28"/>
  <c r="AR28"/>
  <c r="AP28"/>
  <c r="AN28"/>
  <c r="AJ28"/>
  <c r="AG28"/>
  <c r="AD28"/>
  <c r="AE28" s="1"/>
  <c r="AA28"/>
  <c r="X28"/>
  <c r="U28"/>
  <c r="V28" s="1"/>
  <c r="R28"/>
  <c r="P28"/>
  <c r="O28"/>
  <c r="L28"/>
  <c r="I28"/>
  <c r="J28" s="1"/>
  <c r="F28"/>
  <c r="C28"/>
  <c r="D28" s="1"/>
  <c r="AX27"/>
  <c r="AW27"/>
  <c r="AP27"/>
  <c r="AP36" s="1"/>
  <c r="AN27"/>
  <c r="AJ27"/>
  <c r="AG27"/>
  <c r="AD27"/>
  <c r="AE27" s="1"/>
  <c r="AA27"/>
  <c r="X27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P26" s="1"/>
  <c r="L26"/>
  <c r="I26"/>
  <c r="F26"/>
  <c r="D26"/>
  <c r="C26"/>
  <c r="AX25"/>
  <c r="AW25"/>
  <c r="AN25"/>
  <c r="AJ25"/>
  <c r="AG25"/>
  <c r="AD25"/>
  <c r="AE25" s="1"/>
  <c r="AA25"/>
  <c r="AB25" s="1"/>
  <c r="X25"/>
  <c r="V25"/>
  <c r="U25"/>
  <c r="R25"/>
  <c r="O25"/>
  <c r="P25" s="1"/>
  <c r="L25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I24"/>
  <c r="J24" s="1"/>
  <c r="F24"/>
  <c r="C24"/>
  <c r="D24" s="1"/>
  <c r="AX23"/>
  <c r="AW23"/>
  <c r="AJ23"/>
  <c r="AG23"/>
  <c r="AD23"/>
  <c r="AB23"/>
  <c r="AA23"/>
  <c r="X23"/>
  <c r="U23"/>
  <c r="R23"/>
  <c r="O23"/>
  <c r="P23" s="1"/>
  <c r="L23"/>
  <c r="I23"/>
  <c r="F23"/>
  <c r="C23"/>
  <c r="AX22"/>
  <c r="AW22"/>
  <c r="AJ22"/>
  <c r="AG22"/>
  <c r="AD22"/>
  <c r="AE22" s="1"/>
  <c r="AA22"/>
  <c r="AB22" s="1"/>
  <c r="X22"/>
  <c r="U22"/>
  <c r="R22"/>
  <c r="O22"/>
  <c r="P22" s="1"/>
  <c r="L22"/>
  <c r="I22"/>
  <c r="J22" s="1"/>
  <c r="F22"/>
  <c r="C22"/>
  <c r="AX21"/>
  <c r="AW21"/>
  <c r="AJ21"/>
  <c r="AG21"/>
  <c r="AD21"/>
  <c r="AB21"/>
  <c r="AA21"/>
  <c r="X21"/>
  <c r="U21"/>
  <c r="V21" s="1"/>
  <c r="R21"/>
  <c r="O21"/>
  <c r="M21"/>
  <c r="L21"/>
  <c r="J21"/>
  <c r="I21"/>
  <c r="F21"/>
  <c r="C21"/>
  <c r="AX20"/>
  <c r="AW20"/>
  <c r="AJ20"/>
  <c r="AG20"/>
  <c r="AE20"/>
  <c r="AD20"/>
  <c r="AA20"/>
  <c r="X20"/>
  <c r="V20"/>
  <c r="U20"/>
  <c r="R20"/>
  <c r="O20"/>
  <c r="M20"/>
  <c r="L20"/>
  <c r="J20"/>
  <c r="I20"/>
  <c r="F20"/>
  <c r="C20"/>
  <c r="D20" s="1"/>
  <c r="AW19"/>
  <c r="AJ19"/>
  <c r="AG19"/>
  <c r="AD19"/>
  <c r="AE19" s="1"/>
  <c r="AA19"/>
  <c r="X19"/>
  <c r="U19"/>
  <c r="R19"/>
  <c r="O19"/>
  <c r="L19"/>
  <c r="M19" s="1"/>
  <c r="I19"/>
  <c r="J19" s="1"/>
  <c r="F19"/>
  <c r="G19" s="1"/>
  <c r="C19"/>
  <c r="D19" s="1"/>
  <c r="AX18"/>
  <c r="AJ18"/>
  <c r="AG18"/>
  <c r="AD18"/>
  <c r="AA18"/>
  <c r="X18"/>
  <c r="U18"/>
  <c r="V18" s="1"/>
  <c r="R18"/>
  <c r="O18"/>
  <c r="M18"/>
  <c r="L18"/>
  <c r="I18"/>
  <c r="F18"/>
  <c r="G18" s="1"/>
  <c r="C18"/>
  <c r="AX17"/>
  <c r="AW17"/>
  <c r="AJ17"/>
  <c r="AG17"/>
  <c r="AD17"/>
  <c r="AE17" s="1"/>
  <c r="AA17"/>
  <c r="X17"/>
  <c r="U17"/>
  <c r="R17"/>
  <c r="O17"/>
  <c r="P17" s="1"/>
  <c r="L17"/>
  <c r="I17"/>
  <c r="F17"/>
  <c r="G17" s="1"/>
  <c r="C17"/>
  <c r="D17" s="1"/>
  <c r="AX16"/>
  <c r="AW16"/>
  <c r="AJ16"/>
  <c r="AG16"/>
  <c r="AD16"/>
  <c r="AA16"/>
  <c r="AB16" s="1"/>
  <c r="X16"/>
  <c r="U16"/>
  <c r="R16"/>
  <c r="P16"/>
  <c r="O16"/>
  <c r="L16"/>
  <c r="I16"/>
  <c r="G16"/>
  <c r="F16"/>
  <c r="C16"/>
  <c r="AX15"/>
  <c r="AW15"/>
  <c r="AJ15"/>
  <c r="AG15"/>
  <c r="AD15"/>
  <c r="AB15"/>
  <c r="AA15"/>
  <c r="X15"/>
  <c r="U15"/>
  <c r="R15"/>
  <c r="O15"/>
  <c r="P15" s="1"/>
  <c r="L15"/>
  <c r="I15"/>
  <c r="F15"/>
  <c r="C15"/>
  <c r="D15" s="1"/>
  <c r="AX14"/>
  <c r="AW14"/>
  <c r="AJ14"/>
  <c r="AG14"/>
  <c r="AD14"/>
  <c r="AA14"/>
  <c r="X14"/>
  <c r="U14"/>
  <c r="V14" s="1"/>
  <c r="R14"/>
  <c r="S14" s="1"/>
  <c r="O14"/>
  <c r="P14" s="1"/>
  <c r="L14"/>
  <c r="M14" s="1"/>
  <c r="J14"/>
  <c r="I14"/>
  <c r="F14"/>
  <c r="C14"/>
  <c r="AX13"/>
  <c r="AW13"/>
  <c r="AJ13"/>
  <c r="AG13"/>
  <c r="AD13"/>
  <c r="AE13" s="1"/>
  <c r="AA13"/>
  <c r="AB13" s="1"/>
  <c r="X13"/>
  <c r="U13"/>
  <c r="V13" s="1"/>
  <c r="R13"/>
  <c r="S13" s="1"/>
  <c r="O13"/>
  <c r="L13"/>
  <c r="M13" s="1"/>
  <c r="I13"/>
  <c r="J13" s="1"/>
  <c r="F13"/>
  <c r="G13" s="1"/>
  <c r="C13"/>
  <c r="D13" s="1"/>
  <c r="AX12"/>
  <c r="AW12"/>
  <c r="AJ12"/>
  <c r="AG12"/>
  <c r="AD12"/>
  <c r="AE12" s="1"/>
  <c r="AA12"/>
  <c r="X12"/>
  <c r="U12"/>
  <c r="S12"/>
  <c r="R12"/>
  <c r="O12"/>
  <c r="L12"/>
  <c r="M12" s="1"/>
  <c r="I12"/>
  <c r="F12"/>
  <c r="G12" s="1"/>
  <c r="C12"/>
  <c r="D12" s="1"/>
  <c r="AX11"/>
  <c r="AJ11"/>
  <c r="AG11"/>
  <c r="AH11" s="1"/>
  <c r="AW11" s="1"/>
  <c r="AD11"/>
  <c r="AA11"/>
  <c r="AB11" s="1"/>
  <c r="X11"/>
  <c r="Y11" s="1"/>
  <c r="U11"/>
  <c r="V11" s="1"/>
  <c r="AS11" s="1"/>
  <c r="R11"/>
  <c r="P11"/>
  <c r="O11"/>
  <c r="L11"/>
  <c r="I11"/>
  <c r="G11"/>
  <c r="F11"/>
  <c r="D11"/>
  <c r="C11"/>
  <c r="AX10"/>
  <c r="AJ10"/>
  <c r="AH10"/>
  <c r="AG10"/>
  <c r="AD10"/>
  <c r="AE10" s="1"/>
  <c r="AA10"/>
  <c r="X10"/>
  <c r="Y10" s="1"/>
  <c r="U10"/>
  <c r="R10"/>
  <c r="O10"/>
  <c r="P10" s="1"/>
  <c r="L10"/>
  <c r="M10" s="1"/>
  <c r="I10"/>
  <c r="F10"/>
  <c r="G10" s="1"/>
  <c r="C10"/>
  <c r="D10" s="1"/>
  <c r="AX9"/>
  <c r="AJ9"/>
  <c r="AG9"/>
  <c r="AD9"/>
  <c r="AA9"/>
  <c r="AB9" s="1"/>
  <c r="X9"/>
  <c r="Y9" s="1"/>
  <c r="U9"/>
  <c r="R9"/>
  <c r="S9" s="1"/>
  <c r="O9"/>
  <c r="P9" s="1"/>
  <c r="L9"/>
  <c r="I9"/>
  <c r="F9"/>
  <c r="G9" s="1"/>
  <c r="C9"/>
  <c r="AX8"/>
  <c r="AJ8"/>
  <c r="AG8"/>
  <c r="AD8"/>
  <c r="AA8"/>
  <c r="AB8" s="1"/>
  <c r="X8"/>
  <c r="Y8" s="1"/>
  <c r="U8"/>
  <c r="S8"/>
  <c r="R8"/>
  <c r="O8"/>
  <c r="L8"/>
  <c r="M8" s="1"/>
  <c r="J8"/>
  <c r="I8"/>
  <c r="F8"/>
  <c r="C8"/>
  <c r="D8" s="1"/>
  <c r="AX7"/>
  <c r="AQ7"/>
  <c r="AJ7"/>
  <c r="AG7"/>
  <c r="AD7"/>
  <c r="AA7"/>
  <c r="AB7" s="1"/>
  <c r="X7"/>
  <c r="Y7" s="1"/>
  <c r="U7"/>
  <c r="V7" s="1"/>
  <c r="AS7" s="1"/>
  <c r="S7"/>
  <c r="R7"/>
  <c r="O7"/>
  <c r="L7"/>
  <c r="M7" s="1"/>
  <c r="I7"/>
  <c r="J7" s="1"/>
  <c r="F7"/>
  <c r="C7"/>
  <c r="AX6"/>
  <c r="AX36" s="1"/>
  <c r="AQ6"/>
  <c r="AQ36" s="1"/>
  <c r="AJ6"/>
  <c r="AH6"/>
  <c r="AG6"/>
  <c r="AE6"/>
  <c r="AD6"/>
  <c r="AA6"/>
  <c r="X6"/>
  <c r="V6"/>
  <c r="AS6" s="1"/>
  <c r="U6"/>
  <c r="S6"/>
  <c r="R6"/>
  <c r="O6"/>
  <c r="L6"/>
  <c r="M6" s="1"/>
  <c r="I6"/>
  <c r="F6"/>
  <c r="D6"/>
  <c r="AM6" s="1"/>
  <c r="AM36" s="1"/>
  <c r="C6"/>
  <c r="AX5"/>
  <c r="AJ5"/>
  <c r="AG5"/>
  <c r="AD5"/>
  <c r="AE5" s="1"/>
  <c r="AA5"/>
  <c r="X5"/>
  <c r="V5"/>
  <c r="AS5" s="1"/>
  <c r="U5"/>
  <c r="R5"/>
  <c r="O5"/>
  <c r="M5"/>
  <c r="L5"/>
  <c r="I5"/>
  <c r="F5"/>
  <c r="G5" s="1"/>
  <c r="C5"/>
  <c r="D5" s="1"/>
  <c r="B2"/>
  <c r="AT58" i="88"/>
  <c r="AS58"/>
  <c r="AR58"/>
  <c r="AQ58"/>
  <c r="AP58"/>
  <c r="AT57"/>
  <c r="AS57"/>
  <c r="AR57"/>
  <c r="AQ57"/>
  <c r="AP57"/>
  <c r="P48"/>
  <c r="M48"/>
  <c r="J48"/>
  <c r="G48"/>
  <c r="D48"/>
  <c r="M46"/>
  <c r="J46"/>
  <c r="G46"/>
  <c r="D46"/>
  <c r="AI44"/>
  <c r="AV36"/>
  <c r="AO36"/>
  <c r="AK36"/>
  <c r="AX35"/>
  <c r="AW35"/>
  <c r="AP35"/>
  <c r="AN35"/>
  <c r="AJ35"/>
  <c r="AG35"/>
  <c r="AA35"/>
  <c r="V35"/>
  <c r="U35"/>
  <c r="O35"/>
  <c r="L35"/>
  <c r="J35"/>
  <c r="F35"/>
  <c r="AX34"/>
  <c r="AW34"/>
  <c r="AP34"/>
  <c r="AN34"/>
  <c r="AJ34"/>
  <c r="AG34"/>
  <c r="AE34"/>
  <c r="AD34"/>
  <c r="AA34"/>
  <c r="X34"/>
  <c r="Y34" s="1"/>
  <c r="AT34" s="1"/>
  <c r="U34"/>
  <c r="V34" s="1"/>
  <c r="O34"/>
  <c r="P34" s="1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R33"/>
  <c r="S33" s="1"/>
  <c r="Q33"/>
  <c r="O33"/>
  <c r="P33" s="1"/>
  <c r="L33"/>
  <c r="I33"/>
  <c r="F33"/>
  <c r="D33"/>
  <c r="C33"/>
  <c r="AX32"/>
  <c r="AW32"/>
  <c r="AP32"/>
  <c r="AN32"/>
  <c r="AJ32"/>
  <c r="AG32"/>
  <c r="AD32"/>
  <c r="AA32"/>
  <c r="AB32" s="1"/>
  <c r="X32"/>
  <c r="Y32" s="1"/>
  <c r="AT32" s="1"/>
  <c r="U32"/>
  <c r="V32" s="1"/>
  <c r="R32"/>
  <c r="O32"/>
  <c r="P32" s="1"/>
  <c r="L32"/>
  <c r="I32"/>
  <c r="F32"/>
  <c r="C32"/>
  <c r="AX31"/>
  <c r="AW31"/>
  <c r="AP31"/>
  <c r="AN31"/>
  <c r="AJ31"/>
  <c r="AG31"/>
  <c r="AD31"/>
  <c r="AE31" s="1"/>
  <c r="AA31"/>
  <c r="X31"/>
  <c r="Y31" s="1"/>
  <c r="AT31" s="1"/>
  <c r="U31"/>
  <c r="R31"/>
  <c r="O31"/>
  <c r="P31" s="1"/>
  <c r="L31"/>
  <c r="I31"/>
  <c r="J31" s="1"/>
  <c r="F31"/>
  <c r="C31"/>
  <c r="D31" s="1"/>
  <c r="AX30"/>
  <c r="AW30"/>
  <c r="AP30"/>
  <c r="AN30"/>
  <c r="AJ30"/>
  <c r="AG30"/>
  <c r="AD30"/>
  <c r="AB30"/>
  <c r="AA30"/>
  <c r="X30"/>
  <c r="U30"/>
  <c r="V30" s="1"/>
  <c r="R30"/>
  <c r="S30" s="1"/>
  <c r="AR30" s="1"/>
  <c r="O30"/>
  <c r="P30" s="1"/>
  <c r="L30"/>
  <c r="I30"/>
  <c r="J30" s="1"/>
  <c r="F30"/>
  <c r="C30"/>
  <c r="AX29"/>
  <c r="AW29"/>
  <c r="AN29"/>
  <c r="AJ29"/>
  <c r="AG29"/>
  <c r="AD29"/>
  <c r="AE29" s="1"/>
  <c r="AA29"/>
  <c r="X29"/>
  <c r="U29"/>
  <c r="V29" s="1"/>
  <c r="R29"/>
  <c r="P29"/>
  <c r="O29"/>
  <c r="L29"/>
  <c r="I29"/>
  <c r="J29" s="1"/>
  <c r="F29"/>
  <c r="C29"/>
  <c r="D29" s="1"/>
  <c r="AX28"/>
  <c r="AW28"/>
  <c r="AR28"/>
  <c r="AP28"/>
  <c r="AN28"/>
  <c r="AJ28"/>
  <c r="AG28"/>
  <c r="AD28"/>
  <c r="AE28" s="1"/>
  <c r="AA28"/>
  <c r="X28"/>
  <c r="U28"/>
  <c r="V28" s="1"/>
  <c r="R28"/>
  <c r="O28"/>
  <c r="P28" s="1"/>
  <c r="L28"/>
  <c r="J28"/>
  <c r="I28"/>
  <c r="F28"/>
  <c r="C28"/>
  <c r="D28" s="1"/>
  <c r="AX27"/>
  <c r="AW27"/>
  <c r="AP27"/>
  <c r="AP36" s="1"/>
  <c r="AN27"/>
  <c r="AJ27"/>
  <c r="AG27"/>
  <c r="AE27"/>
  <c r="AD27"/>
  <c r="AA27"/>
  <c r="X27"/>
  <c r="Y27" s="1"/>
  <c r="AT27" s="1"/>
  <c r="U27"/>
  <c r="V27" s="1"/>
  <c r="R27"/>
  <c r="O27"/>
  <c r="L27"/>
  <c r="J27"/>
  <c r="I27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P26" s="1"/>
  <c r="L26"/>
  <c r="I26"/>
  <c r="F26"/>
  <c r="C26"/>
  <c r="D26" s="1"/>
  <c r="AX25"/>
  <c r="AW25"/>
  <c r="AN25"/>
  <c r="AJ25"/>
  <c r="AG25"/>
  <c r="AD25"/>
  <c r="AE25" s="1"/>
  <c r="AA25"/>
  <c r="AB25" s="1"/>
  <c r="X25"/>
  <c r="U25"/>
  <c r="V25" s="1"/>
  <c r="R25"/>
  <c r="O25"/>
  <c r="P25" s="1"/>
  <c r="L25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J24"/>
  <c r="I24"/>
  <c r="F24"/>
  <c r="C24"/>
  <c r="D24" s="1"/>
  <c r="AX23"/>
  <c r="AW23"/>
  <c r="AJ23"/>
  <c r="AG23"/>
  <c r="AD23"/>
  <c r="AA23"/>
  <c r="AB23" s="1"/>
  <c r="X23"/>
  <c r="U23"/>
  <c r="V23" s="1"/>
  <c r="R23"/>
  <c r="O23"/>
  <c r="P23" s="1"/>
  <c r="L23"/>
  <c r="M23" s="1"/>
  <c r="I23"/>
  <c r="F23"/>
  <c r="G23" s="1"/>
  <c r="C23"/>
  <c r="AX22"/>
  <c r="AW22"/>
  <c r="AJ22"/>
  <c r="AG22"/>
  <c r="AD22"/>
  <c r="AE22" s="1"/>
  <c r="AA22"/>
  <c r="AB22" s="1"/>
  <c r="X22"/>
  <c r="U22"/>
  <c r="R22"/>
  <c r="O22"/>
  <c r="P22" s="1"/>
  <c r="L22"/>
  <c r="M22" s="1"/>
  <c r="I22"/>
  <c r="J22" s="1"/>
  <c r="F22"/>
  <c r="C22"/>
  <c r="D22" s="1"/>
  <c r="AX21"/>
  <c r="AW21"/>
  <c r="AJ21"/>
  <c r="AG21"/>
  <c r="AD21"/>
  <c r="AB21"/>
  <c r="AA21"/>
  <c r="X21"/>
  <c r="U21"/>
  <c r="V21" s="1"/>
  <c r="R21"/>
  <c r="O21"/>
  <c r="M21"/>
  <c r="L21"/>
  <c r="J21"/>
  <c r="I21"/>
  <c r="F21"/>
  <c r="C21"/>
  <c r="AX20"/>
  <c r="AW20"/>
  <c r="AJ20"/>
  <c r="AG20"/>
  <c r="AE20"/>
  <c r="AD20"/>
  <c r="AA20"/>
  <c r="X20"/>
  <c r="V20"/>
  <c r="U20"/>
  <c r="R20"/>
  <c r="O20"/>
  <c r="M20"/>
  <c r="L20"/>
  <c r="J20"/>
  <c r="I20"/>
  <c r="G20"/>
  <c r="F20"/>
  <c r="D20"/>
  <c r="C20"/>
  <c r="AW19"/>
  <c r="AJ19"/>
  <c r="AG19"/>
  <c r="AD19"/>
  <c r="AE19" s="1"/>
  <c r="AA19"/>
  <c r="X19"/>
  <c r="U19"/>
  <c r="R19"/>
  <c r="O19"/>
  <c r="P19" s="1"/>
  <c r="L19"/>
  <c r="M19" s="1"/>
  <c r="J19"/>
  <c r="I19"/>
  <c r="F19"/>
  <c r="G19" s="1"/>
  <c r="C19"/>
  <c r="D19" s="1"/>
  <c r="AX18"/>
  <c r="AJ18"/>
  <c r="AG18"/>
  <c r="AD18"/>
  <c r="AA18"/>
  <c r="AB18" s="1"/>
  <c r="X18"/>
  <c r="U18"/>
  <c r="V18" s="1"/>
  <c r="R18"/>
  <c r="O18"/>
  <c r="L18"/>
  <c r="M18" s="1"/>
  <c r="I18"/>
  <c r="F18"/>
  <c r="G18" s="1"/>
  <c r="C18"/>
  <c r="AX17"/>
  <c r="AW17"/>
  <c r="AJ17"/>
  <c r="AG17"/>
  <c r="AD17"/>
  <c r="AE17" s="1"/>
  <c r="AA17"/>
  <c r="X17"/>
  <c r="U17"/>
  <c r="R17"/>
  <c r="O17"/>
  <c r="P17" s="1"/>
  <c r="L17"/>
  <c r="J17"/>
  <c r="I17"/>
  <c r="G17"/>
  <c r="F17"/>
  <c r="D17"/>
  <c r="C17"/>
  <c r="AX16"/>
  <c r="AW16"/>
  <c r="AJ16"/>
  <c r="AG16"/>
  <c r="AD16"/>
  <c r="AA16"/>
  <c r="AB16" s="1"/>
  <c r="X16"/>
  <c r="U16"/>
  <c r="V16" s="1"/>
  <c r="R16"/>
  <c r="O16"/>
  <c r="P16" s="1"/>
  <c r="L16"/>
  <c r="I16"/>
  <c r="F16"/>
  <c r="G16" s="1"/>
  <c r="C16"/>
  <c r="AX15"/>
  <c r="AW15"/>
  <c r="AJ15"/>
  <c r="AG15"/>
  <c r="AD15"/>
  <c r="AE15" s="1"/>
  <c r="AA15"/>
  <c r="AB15" s="1"/>
  <c r="X15"/>
  <c r="U15"/>
  <c r="R15"/>
  <c r="O15"/>
  <c r="P15" s="1"/>
  <c r="L15"/>
  <c r="M15" s="1"/>
  <c r="I15"/>
  <c r="F15"/>
  <c r="G15" s="1"/>
  <c r="C15"/>
  <c r="D15" s="1"/>
  <c r="AX14"/>
  <c r="AW14"/>
  <c r="AJ14"/>
  <c r="AG14"/>
  <c r="AD14"/>
  <c r="AA14"/>
  <c r="X14"/>
  <c r="U14"/>
  <c r="V14" s="1"/>
  <c r="R14"/>
  <c r="S14" s="1"/>
  <c r="O14"/>
  <c r="P14" s="1"/>
  <c r="L14"/>
  <c r="M14" s="1"/>
  <c r="I14"/>
  <c r="J14" s="1"/>
  <c r="F14"/>
  <c r="C14"/>
  <c r="AX13"/>
  <c r="AW13"/>
  <c r="AJ13"/>
  <c r="AG13"/>
  <c r="AD13"/>
  <c r="AE13" s="1"/>
  <c r="AB13"/>
  <c r="AA13"/>
  <c r="X13"/>
  <c r="U13"/>
  <c r="V13" s="1"/>
  <c r="R13"/>
  <c r="S13" s="1"/>
  <c r="O13"/>
  <c r="M13"/>
  <c r="L13"/>
  <c r="J13"/>
  <c r="I13"/>
  <c r="G13"/>
  <c r="F13"/>
  <c r="D13"/>
  <c r="C13"/>
  <c r="AX12"/>
  <c r="AW12"/>
  <c r="AJ12"/>
  <c r="AG12"/>
  <c r="AE12"/>
  <c r="AD12"/>
  <c r="AA12"/>
  <c r="X12"/>
  <c r="U12"/>
  <c r="R12"/>
  <c r="S12" s="1"/>
  <c r="O12"/>
  <c r="P12" s="1"/>
  <c r="L12"/>
  <c r="M12" s="1"/>
  <c r="I12"/>
  <c r="F12"/>
  <c r="G12" s="1"/>
  <c r="C12"/>
  <c r="D12" s="1"/>
  <c r="AX11"/>
  <c r="AJ11"/>
  <c r="AG11"/>
  <c r="AH11" s="1"/>
  <c r="AW11" s="1"/>
  <c r="AD11"/>
  <c r="AA11"/>
  <c r="AB11" s="1"/>
  <c r="X11"/>
  <c r="Y11" s="1"/>
  <c r="U11"/>
  <c r="V11" s="1"/>
  <c r="AS11" s="1"/>
  <c r="R11"/>
  <c r="P11"/>
  <c r="O11"/>
  <c r="L11"/>
  <c r="I11"/>
  <c r="G11"/>
  <c r="F11"/>
  <c r="D11"/>
  <c r="C11"/>
  <c r="AX10"/>
  <c r="AJ10"/>
  <c r="AH10"/>
  <c r="AG10"/>
  <c r="AD10"/>
  <c r="AE10" s="1"/>
  <c r="AA10"/>
  <c r="X10"/>
  <c r="Y10" s="1"/>
  <c r="U10"/>
  <c r="R10"/>
  <c r="O10"/>
  <c r="P10" s="1"/>
  <c r="L10"/>
  <c r="M10" s="1"/>
  <c r="I10"/>
  <c r="J10" s="1"/>
  <c r="F10"/>
  <c r="G10" s="1"/>
  <c r="C10"/>
  <c r="D10" s="1"/>
  <c r="AX9"/>
  <c r="AJ9"/>
  <c r="AG9"/>
  <c r="AD9"/>
  <c r="AA9"/>
  <c r="AB9" s="1"/>
  <c r="X9"/>
  <c r="Y9" s="1"/>
  <c r="U9"/>
  <c r="V9" s="1"/>
  <c r="AS9" s="1"/>
  <c r="R9"/>
  <c r="S9" s="1"/>
  <c r="O9"/>
  <c r="P9" s="1"/>
  <c r="L9"/>
  <c r="I9"/>
  <c r="F9"/>
  <c r="G9" s="1"/>
  <c r="C9"/>
  <c r="AX8"/>
  <c r="AJ8"/>
  <c r="AG8"/>
  <c r="AE8"/>
  <c r="AD8"/>
  <c r="AB8"/>
  <c r="AA8"/>
  <c r="Y8"/>
  <c r="X8"/>
  <c r="U8"/>
  <c r="R8"/>
  <c r="S8" s="1"/>
  <c r="O8"/>
  <c r="L8"/>
  <c r="M8" s="1"/>
  <c r="I8"/>
  <c r="J8" s="1"/>
  <c r="F8"/>
  <c r="D8"/>
  <c r="C8"/>
  <c r="AX7"/>
  <c r="AQ7"/>
  <c r="AJ7"/>
  <c r="AG7"/>
  <c r="AD7"/>
  <c r="AA7"/>
  <c r="AB7" s="1"/>
  <c r="X7"/>
  <c r="U7"/>
  <c r="V7" s="1"/>
  <c r="AS7" s="1"/>
  <c r="S7"/>
  <c r="R7"/>
  <c r="O7"/>
  <c r="L7"/>
  <c r="M7" s="1"/>
  <c r="I7"/>
  <c r="J7" s="1"/>
  <c r="F7"/>
  <c r="C7"/>
  <c r="AX6"/>
  <c r="AX36" s="1"/>
  <c r="AQ6"/>
  <c r="AQ36" s="1"/>
  <c r="AJ6"/>
  <c r="AH6"/>
  <c r="AG6"/>
  <c r="AE6"/>
  <c r="AD6"/>
  <c r="AA6"/>
  <c r="X6"/>
  <c r="Y6" s="1"/>
  <c r="U6"/>
  <c r="V6" s="1"/>
  <c r="AS6" s="1"/>
  <c r="R6"/>
  <c r="S6" s="1"/>
  <c r="O6"/>
  <c r="L6"/>
  <c r="M6" s="1"/>
  <c r="I6"/>
  <c r="F6"/>
  <c r="G6" s="1"/>
  <c r="C6"/>
  <c r="D6" s="1"/>
  <c r="AM6" s="1"/>
  <c r="AM36" s="1"/>
  <c r="AX5"/>
  <c r="AJ5"/>
  <c r="AG5"/>
  <c r="AD5"/>
  <c r="AE5" s="1"/>
  <c r="AA5"/>
  <c r="X5"/>
  <c r="U5"/>
  <c r="V5" s="1"/>
  <c r="R5"/>
  <c r="O5"/>
  <c r="L5"/>
  <c r="M5" s="1"/>
  <c r="I5"/>
  <c r="F5"/>
  <c r="G5" s="1"/>
  <c r="C5"/>
  <c r="D5" s="1"/>
  <c r="B2"/>
  <c r="AT58" i="87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P35" s="1"/>
  <c r="L35"/>
  <c r="J35"/>
  <c r="F35"/>
  <c r="AX34"/>
  <c r="AW34"/>
  <c r="AP34"/>
  <c r="AN34"/>
  <c r="AJ34"/>
  <c r="AG34"/>
  <c r="AD34"/>
  <c r="AE34" s="1"/>
  <c r="AA34"/>
  <c r="X34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AB33" s="1"/>
  <c r="X33"/>
  <c r="Y33" s="1"/>
  <c r="AT33" s="1"/>
  <c r="U33"/>
  <c r="V33" s="1"/>
  <c r="R33"/>
  <c r="S33" s="1"/>
  <c r="Q33"/>
  <c r="O33"/>
  <c r="P33" s="1"/>
  <c r="L33"/>
  <c r="I33"/>
  <c r="J33" s="1"/>
  <c r="F33"/>
  <c r="D33"/>
  <c r="C33"/>
  <c r="AX32"/>
  <c r="AW32"/>
  <c r="AP32"/>
  <c r="AN32"/>
  <c r="AJ32"/>
  <c r="AG32"/>
  <c r="AD32"/>
  <c r="AA32"/>
  <c r="X32"/>
  <c r="Y32" s="1"/>
  <c r="AT32" s="1"/>
  <c r="U32"/>
  <c r="V32" s="1"/>
  <c r="R32"/>
  <c r="S32" s="1"/>
  <c r="AR32" s="1"/>
  <c r="O32"/>
  <c r="P32" s="1"/>
  <c r="L32"/>
  <c r="I32"/>
  <c r="F32"/>
  <c r="C32"/>
  <c r="D32" s="1"/>
  <c r="AX31"/>
  <c r="AW31"/>
  <c r="AP31"/>
  <c r="AN31"/>
  <c r="AJ31"/>
  <c r="AG31"/>
  <c r="AD31"/>
  <c r="AE31" s="1"/>
  <c r="AA31"/>
  <c r="AB31" s="1"/>
  <c r="X31"/>
  <c r="Y31" s="1"/>
  <c r="AT31" s="1"/>
  <c r="U31"/>
  <c r="R31"/>
  <c r="O31"/>
  <c r="P31" s="1"/>
  <c r="L31"/>
  <c r="I31"/>
  <c r="F31"/>
  <c r="C31"/>
  <c r="D31" s="1"/>
  <c r="AX30"/>
  <c r="AW30"/>
  <c r="AP30"/>
  <c r="AN30"/>
  <c r="AJ30"/>
  <c r="AG30"/>
  <c r="AD30"/>
  <c r="AA30"/>
  <c r="AB30" s="1"/>
  <c r="X30"/>
  <c r="Y30" s="1"/>
  <c r="AT30" s="1"/>
  <c r="U30"/>
  <c r="R30"/>
  <c r="O30"/>
  <c r="P30" s="1"/>
  <c r="L30"/>
  <c r="I30"/>
  <c r="J30" s="1"/>
  <c r="F30"/>
  <c r="C30"/>
  <c r="AX29"/>
  <c r="AW29"/>
  <c r="AN29"/>
  <c r="AJ29"/>
  <c r="AG29"/>
  <c r="AD29"/>
  <c r="AA29"/>
  <c r="X29"/>
  <c r="Y29" s="1"/>
  <c r="AT29" s="1"/>
  <c r="U29"/>
  <c r="V29" s="1"/>
  <c r="R29"/>
  <c r="S29" s="1"/>
  <c r="AR29" s="1"/>
  <c r="O29"/>
  <c r="P29" s="1"/>
  <c r="L29"/>
  <c r="I29"/>
  <c r="J29" s="1"/>
  <c r="F29"/>
  <c r="C29"/>
  <c r="AX28"/>
  <c r="AW28"/>
  <c r="AR28"/>
  <c r="AP28"/>
  <c r="AN28"/>
  <c r="AJ28"/>
  <c r="AG28"/>
  <c r="AD28"/>
  <c r="AE28" s="1"/>
  <c r="AA28"/>
  <c r="AB28" s="1"/>
  <c r="X28"/>
  <c r="U28"/>
  <c r="V28" s="1"/>
  <c r="R28"/>
  <c r="O28"/>
  <c r="P28" s="1"/>
  <c r="L28"/>
  <c r="I28"/>
  <c r="J28" s="1"/>
  <c r="F28"/>
  <c r="C28"/>
  <c r="D28" s="1"/>
  <c r="AX27"/>
  <c r="AW27"/>
  <c r="AP27"/>
  <c r="AP36" s="1"/>
  <c r="AN27"/>
  <c r="AJ27"/>
  <c r="AG27"/>
  <c r="AD27"/>
  <c r="AE27" s="1"/>
  <c r="AA27"/>
  <c r="AB27" s="1"/>
  <c r="X27"/>
  <c r="U27"/>
  <c r="V27" s="1"/>
  <c r="R27"/>
  <c r="O27"/>
  <c r="P27" s="1"/>
  <c r="L27"/>
  <c r="I27"/>
  <c r="J27" s="1"/>
  <c r="F27"/>
  <c r="D27"/>
  <c r="C27"/>
  <c r="AX26"/>
  <c r="AW26"/>
  <c r="AT26"/>
  <c r="AN26"/>
  <c r="AJ26"/>
  <c r="AG26"/>
  <c r="AE26"/>
  <c r="AD26"/>
  <c r="AA26"/>
  <c r="X26"/>
  <c r="U26"/>
  <c r="V26" s="1"/>
  <c r="R26"/>
  <c r="P26"/>
  <c r="O26"/>
  <c r="L26"/>
  <c r="I26"/>
  <c r="J26" s="1"/>
  <c r="F26"/>
  <c r="C26"/>
  <c r="D26" s="1"/>
  <c r="AX25"/>
  <c r="AW25"/>
  <c r="AN25"/>
  <c r="AJ25"/>
  <c r="AG25"/>
  <c r="AD25"/>
  <c r="AE25" s="1"/>
  <c r="AA25"/>
  <c r="X25"/>
  <c r="U25"/>
  <c r="V25" s="1"/>
  <c r="R25"/>
  <c r="O25"/>
  <c r="P25" s="1"/>
  <c r="L25"/>
  <c r="M25" s="1"/>
  <c r="I25"/>
  <c r="J25" s="1"/>
  <c r="F25"/>
  <c r="D25"/>
  <c r="C25"/>
  <c r="AX24"/>
  <c r="AW24"/>
  <c r="AJ24"/>
  <c r="AG24"/>
  <c r="AE24"/>
  <c r="AD24"/>
  <c r="AB24"/>
  <c r="AA24"/>
  <c r="X24"/>
  <c r="U24"/>
  <c r="R24"/>
  <c r="O24"/>
  <c r="P24" s="1"/>
  <c r="L24"/>
  <c r="M24" s="1"/>
  <c r="I24"/>
  <c r="F24"/>
  <c r="C24"/>
  <c r="D24" s="1"/>
  <c r="AX23"/>
  <c r="AW23"/>
  <c r="AJ23"/>
  <c r="AG23"/>
  <c r="AD23"/>
  <c r="AA23"/>
  <c r="AB23" s="1"/>
  <c r="X23"/>
  <c r="U23"/>
  <c r="R23"/>
  <c r="O23"/>
  <c r="P23" s="1"/>
  <c r="L23"/>
  <c r="M23" s="1"/>
  <c r="I23"/>
  <c r="J23" s="1"/>
  <c r="F23"/>
  <c r="C23"/>
  <c r="AX22"/>
  <c r="AW22"/>
  <c r="AJ22"/>
  <c r="AG22"/>
  <c r="AD22"/>
  <c r="AA22"/>
  <c r="AB22" s="1"/>
  <c r="X22"/>
  <c r="U22"/>
  <c r="V22" s="1"/>
  <c r="R22"/>
  <c r="O22"/>
  <c r="P22" s="1"/>
  <c r="L22"/>
  <c r="I22"/>
  <c r="J22" s="1"/>
  <c r="F22"/>
  <c r="G22" s="1"/>
  <c r="C22"/>
  <c r="AX21"/>
  <c r="AW21"/>
  <c r="AJ21"/>
  <c r="AG21"/>
  <c r="AD21"/>
  <c r="AE21" s="1"/>
  <c r="AA21"/>
  <c r="AB21" s="1"/>
  <c r="X21"/>
  <c r="U21"/>
  <c r="V21" s="1"/>
  <c r="R21"/>
  <c r="O21"/>
  <c r="P21" s="1"/>
  <c r="L21"/>
  <c r="M21" s="1"/>
  <c r="I21"/>
  <c r="J21" s="1"/>
  <c r="F21"/>
  <c r="G21" s="1"/>
  <c r="C21"/>
  <c r="D21" s="1"/>
  <c r="AX20"/>
  <c r="AW20"/>
  <c r="AJ20"/>
  <c r="AG20"/>
  <c r="AD20"/>
  <c r="AE20" s="1"/>
  <c r="AA20"/>
  <c r="AB20" s="1"/>
  <c r="X20"/>
  <c r="U20"/>
  <c r="V20" s="1"/>
  <c r="R20"/>
  <c r="O20"/>
  <c r="P20" s="1"/>
  <c r="L20"/>
  <c r="M20" s="1"/>
  <c r="I20"/>
  <c r="J20" s="1"/>
  <c r="F20"/>
  <c r="C20"/>
  <c r="D20" s="1"/>
  <c r="AW19"/>
  <c r="AJ19"/>
  <c r="AG19"/>
  <c r="AE19"/>
  <c r="AD19"/>
  <c r="AA19"/>
  <c r="X19"/>
  <c r="U19"/>
  <c r="V19" s="1"/>
  <c r="R19"/>
  <c r="O19"/>
  <c r="L19"/>
  <c r="M19" s="1"/>
  <c r="I19"/>
  <c r="J19" s="1"/>
  <c r="F19"/>
  <c r="G19" s="1"/>
  <c r="C19"/>
  <c r="D19" s="1"/>
  <c r="AX18"/>
  <c r="AJ18"/>
  <c r="AG18"/>
  <c r="AD18"/>
  <c r="AE18" s="1"/>
  <c r="AA18"/>
  <c r="X18"/>
  <c r="U18"/>
  <c r="V18" s="1"/>
  <c r="R18"/>
  <c r="O18"/>
  <c r="P18" s="1"/>
  <c r="L18"/>
  <c r="M18" s="1"/>
  <c r="I18"/>
  <c r="F18"/>
  <c r="G18" s="1"/>
  <c r="C18"/>
  <c r="D18" s="1"/>
  <c r="AX17"/>
  <c r="AW17"/>
  <c r="AJ17"/>
  <c r="AG17"/>
  <c r="AD17"/>
  <c r="AE17" s="1"/>
  <c r="AA17"/>
  <c r="AB17" s="1"/>
  <c r="X17"/>
  <c r="U17"/>
  <c r="R17"/>
  <c r="O17"/>
  <c r="P17" s="1"/>
  <c r="L17"/>
  <c r="M17" s="1"/>
  <c r="I17"/>
  <c r="F17"/>
  <c r="G17" s="1"/>
  <c r="C17"/>
  <c r="D17" s="1"/>
  <c r="AX16"/>
  <c r="AW16"/>
  <c r="AJ16"/>
  <c r="AG16"/>
  <c r="AD16"/>
  <c r="AA16"/>
  <c r="AB16" s="1"/>
  <c r="X16"/>
  <c r="U16"/>
  <c r="R16"/>
  <c r="O16"/>
  <c r="P16" s="1"/>
  <c r="L16"/>
  <c r="I16"/>
  <c r="J16" s="1"/>
  <c r="F16"/>
  <c r="G16" s="1"/>
  <c r="C16"/>
  <c r="AX15"/>
  <c r="AW15"/>
  <c r="AJ15"/>
  <c r="AG15"/>
  <c r="AD15"/>
  <c r="AA15"/>
  <c r="AB15" s="1"/>
  <c r="X15"/>
  <c r="U15"/>
  <c r="V15" s="1"/>
  <c r="R15"/>
  <c r="O15"/>
  <c r="P15" s="1"/>
  <c r="L15"/>
  <c r="I15"/>
  <c r="F15"/>
  <c r="G15" s="1"/>
  <c r="C15"/>
  <c r="AX14"/>
  <c r="AW14"/>
  <c r="AJ14"/>
  <c r="AG14"/>
  <c r="AD14"/>
  <c r="AA14"/>
  <c r="AB14" s="1"/>
  <c r="X14"/>
  <c r="U14"/>
  <c r="V14" s="1"/>
  <c r="R14"/>
  <c r="S14" s="1"/>
  <c r="O14"/>
  <c r="P14" s="1"/>
  <c r="L14"/>
  <c r="M14" s="1"/>
  <c r="I14"/>
  <c r="J14" s="1"/>
  <c r="F14"/>
  <c r="G14" s="1"/>
  <c r="C14"/>
  <c r="D14" s="1"/>
  <c r="AX13"/>
  <c r="AW13"/>
  <c r="AJ13"/>
  <c r="AG13"/>
  <c r="AD13"/>
  <c r="AE13" s="1"/>
  <c r="AA13"/>
  <c r="AB13" s="1"/>
  <c r="X13"/>
  <c r="U13"/>
  <c r="V13" s="1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L12"/>
  <c r="M12" s="1"/>
  <c r="I12"/>
  <c r="J12" s="1"/>
  <c r="F12"/>
  <c r="G12" s="1"/>
  <c r="C12"/>
  <c r="D12" s="1"/>
  <c r="AX11"/>
  <c r="AJ11"/>
  <c r="AG11"/>
  <c r="AH11" s="1"/>
  <c r="AW11" s="1"/>
  <c r="AD11"/>
  <c r="AE11" s="1"/>
  <c r="AA11"/>
  <c r="X11"/>
  <c r="Y11" s="1"/>
  <c r="U11"/>
  <c r="V11" s="1"/>
  <c r="AS11" s="1"/>
  <c r="R11"/>
  <c r="S11" s="1"/>
  <c r="O11"/>
  <c r="P11" s="1"/>
  <c r="L11"/>
  <c r="M11" s="1"/>
  <c r="I11"/>
  <c r="J11" s="1"/>
  <c r="F11"/>
  <c r="G11" s="1"/>
  <c r="C11"/>
  <c r="D11" s="1"/>
  <c r="AX10"/>
  <c r="AJ10"/>
  <c r="AG10"/>
  <c r="AH10" s="1"/>
  <c r="AD10"/>
  <c r="AE10" s="1"/>
  <c r="AA10"/>
  <c r="AB10" s="1"/>
  <c r="X10"/>
  <c r="Y10" s="1"/>
  <c r="U10"/>
  <c r="R10"/>
  <c r="S10" s="1"/>
  <c r="O10"/>
  <c r="P10" s="1"/>
  <c r="L10"/>
  <c r="M10" s="1"/>
  <c r="I10"/>
  <c r="F10"/>
  <c r="G10" s="1"/>
  <c r="C10"/>
  <c r="D10" s="1"/>
  <c r="AX9"/>
  <c r="AJ9"/>
  <c r="AG9"/>
  <c r="AD9"/>
  <c r="AA9"/>
  <c r="AB9" s="1"/>
  <c r="X9"/>
  <c r="Y9" s="1"/>
  <c r="U9"/>
  <c r="R9"/>
  <c r="O9"/>
  <c r="P9" s="1"/>
  <c r="L9"/>
  <c r="M9" s="1"/>
  <c r="I9"/>
  <c r="J9" s="1"/>
  <c r="F9"/>
  <c r="G9" s="1"/>
  <c r="C9"/>
  <c r="AX8"/>
  <c r="AJ8"/>
  <c r="AG8"/>
  <c r="AH8" s="1"/>
  <c r="AD8"/>
  <c r="AA8"/>
  <c r="AB8" s="1"/>
  <c r="X8"/>
  <c r="Y8" s="1"/>
  <c r="U8"/>
  <c r="V8" s="1"/>
  <c r="AS8" s="1"/>
  <c r="R8"/>
  <c r="S8" s="1"/>
  <c r="O8"/>
  <c r="L8"/>
  <c r="I8"/>
  <c r="J8" s="1"/>
  <c r="F8"/>
  <c r="G8" s="1"/>
  <c r="C8"/>
  <c r="AX7"/>
  <c r="AQ7"/>
  <c r="AJ7"/>
  <c r="AG7"/>
  <c r="AD7"/>
  <c r="AE7" s="1"/>
  <c r="AA7"/>
  <c r="AB7" s="1"/>
  <c r="X7"/>
  <c r="Y7" s="1"/>
  <c r="U7"/>
  <c r="V7" s="1"/>
  <c r="AS7" s="1"/>
  <c r="R7"/>
  <c r="S7" s="1"/>
  <c r="O7"/>
  <c r="L7"/>
  <c r="M7" s="1"/>
  <c r="I7"/>
  <c r="J7" s="1"/>
  <c r="F7"/>
  <c r="C7"/>
  <c r="D7" s="1"/>
  <c r="AX6"/>
  <c r="AQ6"/>
  <c r="AQ36" s="1"/>
  <c r="AJ6"/>
  <c r="AG6"/>
  <c r="AD6"/>
  <c r="AE6" s="1"/>
  <c r="AA6"/>
  <c r="AB6" s="1"/>
  <c r="X6"/>
  <c r="U6"/>
  <c r="V6" s="1"/>
  <c r="AS6" s="1"/>
  <c r="R6"/>
  <c r="S6" s="1"/>
  <c r="O6"/>
  <c r="M6"/>
  <c r="L6"/>
  <c r="I6"/>
  <c r="F6"/>
  <c r="C6"/>
  <c r="D6" s="1"/>
  <c r="AM6" s="1"/>
  <c r="AM36" s="1"/>
  <c r="AX5"/>
  <c r="AX36" s="1"/>
  <c r="AJ5"/>
  <c r="AG5"/>
  <c r="AH5" s="1"/>
  <c r="AD5"/>
  <c r="AE5" s="1"/>
  <c r="AA5"/>
  <c r="X5"/>
  <c r="Y5" s="1"/>
  <c r="U5"/>
  <c r="V5" s="1"/>
  <c r="R5"/>
  <c r="S5" s="1"/>
  <c r="O5"/>
  <c r="M5"/>
  <c r="L5"/>
  <c r="I5"/>
  <c r="F5"/>
  <c r="G5" s="1"/>
  <c r="C5"/>
  <c r="D5" s="1"/>
  <c r="B2"/>
  <c r="AI44" i="68"/>
  <c r="AT58" i="86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V35"/>
  <c r="U35"/>
  <c r="O35"/>
  <c r="L35"/>
  <c r="J35"/>
  <c r="F35"/>
  <c r="AX34"/>
  <c r="AW34"/>
  <c r="AP34"/>
  <c r="AN34"/>
  <c r="AJ34"/>
  <c r="AG34"/>
  <c r="AD34"/>
  <c r="AE34" s="1"/>
  <c r="AA34"/>
  <c r="X34"/>
  <c r="U34"/>
  <c r="V34" s="1"/>
  <c r="O34"/>
  <c r="L34"/>
  <c r="I34"/>
  <c r="J34" s="1"/>
  <c r="F34"/>
  <c r="D34"/>
  <c r="C34"/>
  <c r="AX33"/>
  <c r="AW33"/>
  <c r="AP33"/>
  <c r="AN33"/>
  <c r="AJ33"/>
  <c r="AG33"/>
  <c r="AE33"/>
  <c r="AD33"/>
  <c r="AA33"/>
  <c r="X33"/>
  <c r="Y33" s="1"/>
  <c r="AT33" s="1"/>
  <c r="U33"/>
  <c r="V33" s="1"/>
  <c r="R33"/>
  <c r="S33" s="1"/>
  <c r="Q33"/>
  <c r="O33"/>
  <c r="L33"/>
  <c r="I33"/>
  <c r="F33"/>
  <c r="C33"/>
  <c r="D33" s="1"/>
  <c r="AX32"/>
  <c r="AW32"/>
  <c r="AP32"/>
  <c r="AN32"/>
  <c r="AJ32"/>
  <c r="AG32"/>
  <c r="AD32"/>
  <c r="AA32"/>
  <c r="X32"/>
  <c r="Y32" s="1"/>
  <c r="AT32" s="1"/>
  <c r="U32"/>
  <c r="R32"/>
  <c r="P32"/>
  <c r="O32"/>
  <c r="L32"/>
  <c r="I32"/>
  <c r="F32"/>
  <c r="C32"/>
  <c r="D32" s="1"/>
  <c r="AX31"/>
  <c r="AW31"/>
  <c r="AP31"/>
  <c r="AN31"/>
  <c r="AJ31"/>
  <c r="AG31"/>
  <c r="AD31"/>
  <c r="AA31"/>
  <c r="AB31" s="1"/>
  <c r="Y31"/>
  <c r="AT31" s="1"/>
  <c r="X31"/>
  <c r="U31"/>
  <c r="R31"/>
  <c r="O31"/>
  <c r="P31" s="1"/>
  <c r="L31"/>
  <c r="I31"/>
  <c r="F31"/>
  <c r="C31"/>
  <c r="AX30"/>
  <c r="AW30"/>
  <c r="AP30"/>
  <c r="AN30"/>
  <c r="AJ30"/>
  <c r="AG30"/>
  <c r="AD30"/>
  <c r="AB30"/>
  <c r="AA30"/>
  <c r="X30"/>
  <c r="Y30" s="1"/>
  <c r="AT30" s="1"/>
  <c r="U30"/>
  <c r="R30"/>
  <c r="O30"/>
  <c r="P30" s="1"/>
  <c r="L30"/>
  <c r="I30"/>
  <c r="J30" s="1"/>
  <c r="F30"/>
  <c r="C30"/>
  <c r="AX29"/>
  <c r="AW29"/>
  <c r="AN29"/>
  <c r="AJ29"/>
  <c r="AG29"/>
  <c r="AD29"/>
  <c r="AA29"/>
  <c r="X29"/>
  <c r="U29"/>
  <c r="V29" s="1"/>
  <c r="R29"/>
  <c r="O29"/>
  <c r="P29" s="1"/>
  <c r="L29"/>
  <c r="J29"/>
  <c r="I29"/>
  <c r="F29"/>
  <c r="C29"/>
  <c r="D29" s="1"/>
  <c r="AX28"/>
  <c r="AW28"/>
  <c r="AR28"/>
  <c r="AP28"/>
  <c r="AN28"/>
  <c r="AJ28"/>
  <c r="AG28"/>
  <c r="AD28"/>
  <c r="AA28"/>
  <c r="AB28" s="1"/>
  <c r="X28"/>
  <c r="U28"/>
  <c r="V28" s="1"/>
  <c r="R28"/>
  <c r="O28"/>
  <c r="L28"/>
  <c r="J28"/>
  <c r="I28"/>
  <c r="F28"/>
  <c r="C28"/>
  <c r="AX27"/>
  <c r="AW27"/>
  <c r="AP27"/>
  <c r="AP36" s="1"/>
  <c r="AN27"/>
  <c r="AJ27"/>
  <c r="AG27"/>
  <c r="AE27"/>
  <c r="AD27"/>
  <c r="AA27"/>
  <c r="X27"/>
  <c r="U27"/>
  <c r="V27" s="1"/>
  <c r="R27"/>
  <c r="P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AB26" s="1"/>
  <c r="X26"/>
  <c r="U26"/>
  <c r="V26" s="1"/>
  <c r="R26"/>
  <c r="O26"/>
  <c r="L26"/>
  <c r="I26"/>
  <c r="F26"/>
  <c r="D26"/>
  <c r="C26"/>
  <c r="AX25"/>
  <c r="AW25"/>
  <c r="AN25"/>
  <c r="AN36" s="1"/>
  <c r="AJ25"/>
  <c r="AG25"/>
  <c r="AD25"/>
  <c r="AE25" s="1"/>
  <c r="AA25"/>
  <c r="X25"/>
  <c r="U25"/>
  <c r="R25"/>
  <c r="O25"/>
  <c r="L25"/>
  <c r="M25" s="1"/>
  <c r="I25"/>
  <c r="F25"/>
  <c r="C25"/>
  <c r="D25" s="1"/>
  <c r="AX24"/>
  <c r="AW24"/>
  <c r="AJ24"/>
  <c r="AG24"/>
  <c r="AD24"/>
  <c r="AB24"/>
  <c r="AA24"/>
  <c r="X24"/>
  <c r="U24"/>
  <c r="R24"/>
  <c r="O24"/>
  <c r="P24" s="1"/>
  <c r="L24"/>
  <c r="I24"/>
  <c r="F24"/>
  <c r="C24"/>
  <c r="AX23"/>
  <c r="AW23"/>
  <c r="AJ23"/>
  <c r="AG23"/>
  <c r="AD23"/>
  <c r="AA23"/>
  <c r="AB23" s="1"/>
  <c r="X23"/>
  <c r="U23"/>
  <c r="V23" s="1"/>
  <c r="R23"/>
  <c r="O23"/>
  <c r="P23" s="1"/>
  <c r="L23"/>
  <c r="I23"/>
  <c r="F23"/>
  <c r="G23" s="1"/>
  <c r="C23"/>
  <c r="AX22"/>
  <c r="AW22"/>
  <c r="AJ22"/>
  <c r="AG22"/>
  <c r="AD22"/>
  <c r="AA22"/>
  <c r="AB22" s="1"/>
  <c r="X22"/>
  <c r="U22"/>
  <c r="R22"/>
  <c r="O22"/>
  <c r="P22" s="1"/>
  <c r="L22"/>
  <c r="J22"/>
  <c r="I22"/>
  <c r="F22"/>
  <c r="C22"/>
  <c r="AX21"/>
  <c r="AW21"/>
  <c r="AJ21"/>
  <c r="AG21"/>
  <c r="AD21"/>
  <c r="AA21"/>
  <c r="AB21" s="1"/>
  <c r="X21"/>
  <c r="U21"/>
  <c r="V21" s="1"/>
  <c r="R21"/>
  <c r="O21"/>
  <c r="L21"/>
  <c r="I21"/>
  <c r="J21" s="1"/>
  <c r="F21"/>
  <c r="C21"/>
  <c r="D21" s="1"/>
  <c r="AX20"/>
  <c r="AW20"/>
  <c r="AJ20"/>
  <c r="AG20"/>
  <c r="AD20"/>
  <c r="AE20" s="1"/>
  <c r="AA20"/>
  <c r="X20"/>
  <c r="U20"/>
  <c r="V20" s="1"/>
  <c r="R20"/>
  <c r="O20"/>
  <c r="L20"/>
  <c r="M20" s="1"/>
  <c r="I20"/>
  <c r="J20" s="1"/>
  <c r="F20"/>
  <c r="D20"/>
  <c r="C20"/>
  <c r="AW19"/>
  <c r="AJ19"/>
  <c r="AG19"/>
  <c r="AD19"/>
  <c r="AE19" s="1"/>
  <c r="AA19"/>
  <c r="X19"/>
  <c r="U19"/>
  <c r="V19" s="1"/>
  <c r="R19"/>
  <c r="O19"/>
  <c r="L19"/>
  <c r="M19" s="1"/>
  <c r="I19"/>
  <c r="F19"/>
  <c r="C19"/>
  <c r="D19" s="1"/>
  <c r="AX18"/>
  <c r="AJ18"/>
  <c r="AG18"/>
  <c r="AD18"/>
  <c r="AE18" s="1"/>
  <c r="AA18"/>
  <c r="X18"/>
  <c r="U18"/>
  <c r="R18"/>
  <c r="O18"/>
  <c r="P18" s="1"/>
  <c r="L18"/>
  <c r="M18" s="1"/>
  <c r="I18"/>
  <c r="G18"/>
  <c r="F18"/>
  <c r="C18"/>
  <c r="D18" s="1"/>
  <c r="AX17"/>
  <c r="AW17"/>
  <c r="AJ17"/>
  <c r="AG17"/>
  <c r="AD17"/>
  <c r="AA17"/>
  <c r="AB17" s="1"/>
  <c r="X17"/>
  <c r="U17"/>
  <c r="R17"/>
  <c r="P17"/>
  <c r="O17"/>
  <c r="L17"/>
  <c r="I17"/>
  <c r="F17"/>
  <c r="G17" s="1"/>
  <c r="C17"/>
  <c r="AX16"/>
  <c r="AW16"/>
  <c r="AJ16"/>
  <c r="AG16"/>
  <c r="AD16"/>
  <c r="AA16"/>
  <c r="AB16" s="1"/>
  <c r="X16"/>
  <c r="U16"/>
  <c r="R16"/>
  <c r="O16"/>
  <c r="P16" s="1"/>
  <c r="L16"/>
  <c r="I16"/>
  <c r="F16"/>
  <c r="G16" s="1"/>
  <c r="C16"/>
  <c r="AX15"/>
  <c r="AW15"/>
  <c r="AJ15"/>
  <c r="AG15"/>
  <c r="AD15"/>
  <c r="AA15"/>
  <c r="AB15" s="1"/>
  <c r="X15"/>
  <c r="U15"/>
  <c r="R15"/>
  <c r="O15"/>
  <c r="P15" s="1"/>
  <c r="L15"/>
  <c r="I15"/>
  <c r="F15"/>
  <c r="G15" s="1"/>
  <c r="C15"/>
  <c r="AX14"/>
  <c r="AW14"/>
  <c r="AJ14"/>
  <c r="AG14"/>
  <c r="AD14"/>
  <c r="AA14"/>
  <c r="AB14" s="1"/>
  <c r="X14"/>
  <c r="U14"/>
  <c r="V14" s="1"/>
  <c r="R14"/>
  <c r="S14" s="1"/>
  <c r="O14"/>
  <c r="M14"/>
  <c r="L14"/>
  <c r="J14"/>
  <c r="I14"/>
  <c r="F14"/>
  <c r="C14"/>
  <c r="AX13"/>
  <c r="AW13"/>
  <c r="AJ13"/>
  <c r="AG13"/>
  <c r="AE13"/>
  <c r="AD13"/>
  <c r="AA13"/>
  <c r="X13"/>
  <c r="V13"/>
  <c r="U13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L12"/>
  <c r="M12" s="1"/>
  <c r="I12"/>
  <c r="F12"/>
  <c r="C12"/>
  <c r="D12" s="1"/>
  <c r="AX11"/>
  <c r="AJ11"/>
  <c r="AH11"/>
  <c r="AW11" s="1"/>
  <c r="AW36" s="1"/>
  <c r="AG11"/>
  <c r="AD11"/>
  <c r="AE11" s="1"/>
  <c r="AA11"/>
  <c r="X11"/>
  <c r="Y11" s="1"/>
  <c r="U11"/>
  <c r="R11"/>
  <c r="O11"/>
  <c r="L11"/>
  <c r="M11" s="1"/>
  <c r="I11"/>
  <c r="F11"/>
  <c r="G11" s="1"/>
  <c r="C11"/>
  <c r="D11" s="1"/>
  <c r="AX10"/>
  <c r="AJ10"/>
  <c r="AG10"/>
  <c r="AH10" s="1"/>
  <c r="AD10"/>
  <c r="AA10"/>
  <c r="X10"/>
  <c r="Y10" s="1"/>
  <c r="U10"/>
  <c r="R10"/>
  <c r="O10"/>
  <c r="P10" s="1"/>
  <c r="L10"/>
  <c r="I10"/>
  <c r="F10"/>
  <c r="G10" s="1"/>
  <c r="C10"/>
  <c r="AX9"/>
  <c r="AJ9"/>
  <c r="AG9"/>
  <c r="AD9"/>
  <c r="AA9"/>
  <c r="AB9" s="1"/>
  <c r="X9"/>
  <c r="Y9" s="1"/>
  <c r="U9"/>
  <c r="R9"/>
  <c r="O9"/>
  <c r="P9" s="1"/>
  <c r="L9"/>
  <c r="I9"/>
  <c r="F9"/>
  <c r="G9" s="1"/>
  <c r="C9"/>
  <c r="AX8"/>
  <c r="AJ8"/>
  <c r="AG8"/>
  <c r="AH8" s="1"/>
  <c r="AD8"/>
  <c r="AA8"/>
  <c r="AB8" s="1"/>
  <c r="X8"/>
  <c r="U8"/>
  <c r="R8"/>
  <c r="O8"/>
  <c r="L8"/>
  <c r="I8"/>
  <c r="J8" s="1"/>
  <c r="F8"/>
  <c r="C8"/>
  <c r="AX7"/>
  <c r="AQ7"/>
  <c r="AJ7"/>
  <c r="AG7"/>
  <c r="AD7"/>
  <c r="AB7"/>
  <c r="AA7"/>
  <c r="X7"/>
  <c r="U7"/>
  <c r="V7" s="1"/>
  <c r="AS7" s="1"/>
  <c r="R7"/>
  <c r="S7" s="1"/>
  <c r="O7"/>
  <c r="M7"/>
  <c r="L7"/>
  <c r="I7"/>
  <c r="J7" s="1"/>
  <c r="F7"/>
  <c r="C7"/>
  <c r="D7" s="1"/>
  <c r="AX6"/>
  <c r="AQ6"/>
  <c r="AQ36" s="1"/>
  <c r="AJ6"/>
  <c r="AG6"/>
  <c r="AD6"/>
  <c r="AE6" s="1"/>
  <c r="AA6"/>
  <c r="X6"/>
  <c r="U6"/>
  <c r="V6" s="1"/>
  <c r="AS6" s="1"/>
  <c r="R6"/>
  <c r="S6" s="1"/>
  <c r="O6"/>
  <c r="L6"/>
  <c r="M6" s="1"/>
  <c r="I6"/>
  <c r="F6"/>
  <c r="C6"/>
  <c r="D6" s="1"/>
  <c r="AM6" s="1"/>
  <c r="AM36" s="1"/>
  <c r="AX5"/>
  <c r="AJ5"/>
  <c r="AG5"/>
  <c r="AD5"/>
  <c r="AE5" s="1"/>
  <c r="AA5"/>
  <c r="X5"/>
  <c r="U5"/>
  <c r="V5" s="1"/>
  <c r="AS5" s="1"/>
  <c r="R5"/>
  <c r="S5" s="1"/>
  <c r="O5"/>
  <c r="L5"/>
  <c r="M5" s="1"/>
  <c r="I5"/>
  <c r="F5"/>
  <c r="C5"/>
  <c r="D5" s="1"/>
  <c r="B2"/>
  <c r="AT58" i="85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P35" s="1"/>
  <c r="L35"/>
  <c r="J35"/>
  <c r="F35"/>
  <c r="AX34"/>
  <c r="AW34"/>
  <c r="AP34"/>
  <c r="AN34"/>
  <c r="AJ34"/>
  <c r="AG34"/>
  <c r="AD34"/>
  <c r="AE34" s="1"/>
  <c r="AA34"/>
  <c r="X34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V33" s="1"/>
  <c r="R33"/>
  <c r="S33" s="1"/>
  <c r="Q33"/>
  <c r="O33"/>
  <c r="P33" s="1"/>
  <c r="L33"/>
  <c r="I33"/>
  <c r="J33" s="1"/>
  <c r="F33"/>
  <c r="D33"/>
  <c r="C33"/>
  <c r="AX32"/>
  <c r="AW32"/>
  <c r="AP32"/>
  <c r="AN32"/>
  <c r="AJ32"/>
  <c r="AG32"/>
  <c r="AD32"/>
  <c r="AA32"/>
  <c r="X32"/>
  <c r="Y32" s="1"/>
  <c r="AT32" s="1"/>
  <c r="U32"/>
  <c r="V32" s="1"/>
  <c r="R32"/>
  <c r="S32" s="1"/>
  <c r="AR32" s="1"/>
  <c r="O32"/>
  <c r="P32" s="1"/>
  <c r="L32"/>
  <c r="I32"/>
  <c r="F32"/>
  <c r="C32"/>
  <c r="D32" s="1"/>
  <c r="AX31"/>
  <c r="AW31"/>
  <c r="AP31"/>
  <c r="AN31"/>
  <c r="AJ31"/>
  <c r="AG31"/>
  <c r="AD31"/>
  <c r="AE31" s="1"/>
  <c r="AA31"/>
  <c r="AB31" s="1"/>
  <c r="X31"/>
  <c r="Y31" s="1"/>
  <c r="AT31" s="1"/>
  <c r="U31"/>
  <c r="R31"/>
  <c r="O31"/>
  <c r="P31" s="1"/>
  <c r="L31"/>
  <c r="I31"/>
  <c r="J31" s="1"/>
  <c r="F31"/>
  <c r="C31"/>
  <c r="D31" s="1"/>
  <c r="AX30"/>
  <c r="AW30"/>
  <c r="AP30"/>
  <c r="AN30"/>
  <c r="AJ30"/>
  <c r="AG30"/>
  <c r="AD30"/>
  <c r="AA30"/>
  <c r="AB30" s="1"/>
  <c r="X30"/>
  <c r="Y30" s="1"/>
  <c r="AT30" s="1"/>
  <c r="U30"/>
  <c r="R30"/>
  <c r="O30"/>
  <c r="P30" s="1"/>
  <c r="L30"/>
  <c r="I30"/>
  <c r="J30" s="1"/>
  <c r="F30"/>
  <c r="C30"/>
  <c r="AX29"/>
  <c r="AW29"/>
  <c r="AN29"/>
  <c r="AJ29"/>
  <c r="AG29"/>
  <c r="AD29"/>
  <c r="AA29"/>
  <c r="X29"/>
  <c r="Y29" s="1"/>
  <c r="AT29" s="1"/>
  <c r="U29"/>
  <c r="V29" s="1"/>
  <c r="R29"/>
  <c r="S29" s="1"/>
  <c r="AR29" s="1"/>
  <c r="O29"/>
  <c r="P29" s="1"/>
  <c r="L29"/>
  <c r="I29"/>
  <c r="J29" s="1"/>
  <c r="F29"/>
  <c r="C29"/>
  <c r="AX28"/>
  <c r="AW28"/>
  <c r="AR28"/>
  <c r="AP28"/>
  <c r="AN28"/>
  <c r="AJ28"/>
  <c r="AG28"/>
  <c r="AD28"/>
  <c r="AE28" s="1"/>
  <c r="AA28"/>
  <c r="AB28" s="1"/>
  <c r="X28"/>
  <c r="U28"/>
  <c r="V28" s="1"/>
  <c r="R28"/>
  <c r="O28"/>
  <c r="P28" s="1"/>
  <c r="L28"/>
  <c r="I28"/>
  <c r="J28" s="1"/>
  <c r="F28"/>
  <c r="C28"/>
  <c r="D28" s="1"/>
  <c r="AX27"/>
  <c r="AW27"/>
  <c r="AP27"/>
  <c r="AP36" s="1"/>
  <c r="AN27"/>
  <c r="AJ27"/>
  <c r="AG27"/>
  <c r="AD27"/>
  <c r="AE27" s="1"/>
  <c r="AA27"/>
  <c r="AB27" s="1"/>
  <c r="X27"/>
  <c r="U27"/>
  <c r="V27" s="1"/>
  <c r="R27"/>
  <c r="O27"/>
  <c r="L27"/>
  <c r="I27"/>
  <c r="J27" s="1"/>
  <c r="F27"/>
  <c r="D27"/>
  <c r="C27"/>
  <c r="AX26"/>
  <c r="AW26"/>
  <c r="AT26"/>
  <c r="AN26"/>
  <c r="AJ26"/>
  <c r="AG26"/>
  <c r="AE26"/>
  <c r="AD26"/>
  <c r="AA26"/>
  <c r="X26"/>
  <c r="U26"/>
  <c r="V26" s="1"/>
  <c r="R26"/>
  <c r="P26"/>
  <c r="O26"/>
  <c r="L26"/>
  <c r="I26"/>
  <c r="J26" s="1"/>
  <c r="F26"/>
  <c r="C26"/>
  <c r="D26" s="1"/>
  <c r="AX25"/>
  <c r="AW25"/>
  <c r="AN25"/>
  <c r="AJ25"/>
  <c r="AG25"/>
  <c r="AD25"/>
  <c r="AE25" s="1"/>
  <c r="AA25"/>
  <c r="X25"/>
  <c r="U25"/>
  <c r="V25" s="1"/>
  <c r="R25"/>
  <c r="O25"/>
  <c r="P25" s="1"/>
  <c r="L25"/>
  <c r="M25" s="1"/>
  <c r="I25"/>
  <c r="F25"/>
  <c r="D25"/>
  <c r="C25"/>
  <c r="AX24"/>
  <c r="AW24"/>
  <c r="AJ24"/>
  <c r="AG24"/>
  <c r="AE24"/>
  <c r="AD24"/>
  <c r="AB24"/>
  <c r="AA24"/>
  <c r="X24"/>
  <c r="U24"/>
  <c r="V24" s="1"/>
  <c r="R24"/>
  <c r="O24"/>
  <c r="P24" s="1"/>
  <c r="L24"/>
  <c r="I24"/>
  <c r="F24"/>
  <c r="C24"/>
  <c r="D24" s="1"/>
  <c r="AX23"/>
  <c r="AW23"/>
  <c r="AJ23"/>
  <c r="AG23"/>
  <c r="AD23"/>
  <c r="AE23" s="1"/>
  <c r="AA23"/>
  <c r="AB23" s="1"/>
  <c r="X23"/>
  <c r="U23"/>
  <c r="R23"/>
  <c r="O23"/>
  <c r="P23" s="1"/>
  <c r="L23"/>
  <c r="I23"/>
  <c r="J23" s="1"/>
  <c r="F23"/>
  <c r="G23" s="1"/>
  <c r="C23"/>
  <c r="AX22"/>
  <c r="AW22"/>
  <c r="AJ22"/>
  <c r="AG22"/>
  <c r="AD22"/>
  <c r="AA22"/>
  <c r="AB22" s="1"/>
  <c r="X22"/>
  <c r="U22"/>
  <c r="V22" s="1"/>
  <c r="R22"/>
  <c r="O22"/>
  <c r="P22" s="1"/>
  <c r="L22"/>
  <c r="M22" s="1"/>
  <c r="I22"/>
  <c r="J22" s="1"/>
  <c r="F22"/>
  <c r="G22" s="1"/>
  <c r="C22"/>
  <c r="D22" s="1"/>
  <c r="AX21"/>
  <c r="AW21"/>
  <c r="AJ21"/>
  <c r="AG21"/>
  <c r="AD21"/>
  <c r="AE21" s="1"/>
  <c r="AA21"/>
  <c r="AB21" s="1"/>
  <c r="X21"/>
  <c r="U21"/>
  <c r="V21" s="1"/>
  <c r="R21"/>
  <c r="O21"/>
  <c r="P21" s="1"/>
  <c r="L21"/>
  <c r="M21" s="1"/>
  <c r="I21"/>
  <c r="J21" s="1"/>
  <c r="F21"/>
  <c r="C21"/>
  <c r="D21" s="1"/>
  <c r="AX20"/>
  <c r="AW20"/>
  <c r="AJ20"/>
  <c r="AG20"/>
  <c r="AD20"/>
  <c r="AE20" s="1"/>
  <c r="AA20"/>
  <c r="AB20" s="1"/>
  <c r="X20"/>
  <c r="V20"/>
  <c r="U20"/>
  <c r="R20"/>
  <c r="O20"/>
  <c r="L20"/>
  <c r="M20" s="1"/>
  <c r="I20"/>
  <c r="J20" s="1"/>
  <c r="F20"/>
  <c r="G20" s="1"/>
  <c r="C20"/>
  <c r="D20" s="1"/>
  <c r="AW19"/>
  <c r="AJ19"/>
  <c r="AG19"/>
  <c r="AD19"/>
  <c r="AE19" s="1"/>
  <c r="AA19"/>
  <c r="AB19" s="1"/>
  <c r="X19"/>
  <c r="U19"/>
  <c r="V19" s="1"/>
  <c r="R19"/>
  <c r="P19"/>
  <c r="O19"/>
  <c r="M19"/>
  <c r="L19"/>
  <c r="J19"/>
  <c r="I19"/>
  <c r="G19"/>
  <c r="F19"/>
  <c r="D19"/>
  <c r="C19"/>
  <c r="AX18"/>
  <c r="AJ18"/>
  <c r="AG18"/>
  <c r="AD18"/>
  <c r="AE18" s="1"/>
  <c r="AA18"/>
  <c r="X18"/>
  <c r="U18"/>
  <c r="R18"/>
  <c r="O18"/>
  <c r="P18" s="1"/>
  <c r="L18"/>
  <c r="M18" s="1"/>
  <c r="I18"/>
  <c r="F18"/>
  <c r="G18" s="1"/>
  <c r="C18"/>
  <c r="D18" s="1"/>
  <c r="AX17"/>
  <c r="AW17"/>
  <c r="AJ17"/>
  <c r="AG17"/>
  <c r="AD17"/>
  <c r="AE17" s="1"/>
  <c r="AA17"/>
  <c r="AB17" s="1"/>
  <c r="X17"/>
  <c r="U17"/>
  <c r="R17"/>
  <c r="O17"/>
  <c r="P17" s="1"/>
  <c r="L17"/>
  <c r="M17" s="1"/>
  <c r="I17"/>
  <c r="J17" s="1"/>
  <c r="F17"/>
  <c r="G17" s="1"/>
  <c r="C17"/>
  <c r="D17" s="1"/>
  <c r="AX16"/>
  <c r="AW16"/>
  <c r="AJ16"/>
  <c r="AG16"/>
  <c r="AD16"/>
  <c r="AA16"/>
  <c r="AB16" s="1"/>
  <c r="X16"/>
  <c r="U16"/>
  <c r="R16"/>
  <c r="O16"/>
  <c r="P16" s="1"/>
  <c r="L16"/>
  <c r="I16"/>
  <c r="J16" s="1"/>
  <c r="F16"/>
  <c r="G16" s="1"/>
  <c r="C16"/>
  <c r="AX15"/>
  <c r="AW15"/>
  <c r="AJ15"/>
  <c r="AG15"/>
  <c r="AD15"/>
  <c r="AA15"/>
  <c r="AB15" s="1"/>
  <c r="X15"/>
  <c r="V15"/>
  <c r="U15"/>
  <c r="R15"/>
  <c r="O15"/>
  <c r="P15" s="1"/>
  <c r="L15"/>
  <c r="M15" s="1"/>
  <c r="I15"/>
  <c r="G15"/>
  <c r="F15"/>
  <c r="D15"/>
  <c r="C15"/>
  <c r="AX14"/>
  <c r="AW14"/>
  <c r="AJ14"/>
  <c r="AG14"/>
  <c r="AD14"/>
  <c r="AA14"/>
  <c r="AB14" s="1"/>
  <c r="X14"/>
  <c r="U14"/>
  <c r="V14" s="1"/>
  <c r="R14"/>
  <c r="S14" s="1"/>
  <c r="O14"/>
  <c r="P14" s="1"/>
  <c r="L14"/>
  <c r="M14" s="1"/>
  <c r="I14"/>
  <c r="J14" s="1"/>
  <c r="F14"/>
  <c r="C14"/>
  <c r="D14" s="1"/>
  <c r="AX13"/>
  <c r="AW13"/>
  <c r="AJ13"/>
  <c r="AG13"/>
  <c r="AD13"/>
  <c r="AE13" s="1"/>
  <c r="AA13"/>
  <c r="AB13" s="1"/>
  <c r="X13"/>
  <c r="U13"/>
  <c r="V13" s="1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P12" s="1"/>
  <c r="L12"/>
  <c r="M12" s="1"/>
  <c r="I12"/>
  <c r="J12" s="1"/>
  <c r="F12"/>
  <c r="G12" s="1"/>
  <c r="C12"/>
  <c r="D12" s="1"/>
  <c r="AX11"/>
  <c r="AJ11"/>
  <c r="AG11"/>
  <c r="AH11" s="1"/>
  <c r="AW11" s="1"/>
  <c r="AD11"/>
  <c r="AE11" s="1"/>
  <c r="AA11"/>
  <c r="X11"/>
  <c r="Y11" s="1"/>
  <c r="U11"/>
  <c r="V11" s="1"/>
  <c r="AS11" s="1"/>
  <c r="R11"/>
  <c r="S11" s="1"/>
  <c r="O11"/>
  <c r="P11" s="1"/>
  <c r="L11"/>
  <c r="M11" s="1"/>
  <c r="I11"/>
  <c r="F11"/>
  <c r="G11" s="1"/>
  <c r="C11"/>
  <c r="D11" s="1"/>
  <c r="AX10"/>
  <c r="AJ10"/>
  <c r="AG10"/>
  <c r="AH10" s="1"/>
  <c r="AD10"/>
  <c r="AB10"/>
  <c r="AA10"/>
  <c r="Y10"/>
  <c r="X10"/>
  <c r="U10"/>
  <c r="R10"/>
  <c r="P10"/>
  <c r="O10"/>
  <c r="L10"/>
  <c r="I10"/>
  <c r="G10"/>
  <c r="F10"/>
  <c r="D10"/>
  <c r="C10"/>
  <c r="AX9"/>
  <c r="AJ9"/>
  <c r="AG9"/>
  <c r="AD9"/>
  <c r="AB9"/>
  <c r="AA9"/>
  <c r="Y9"/>
  <c r="X9"/>
  <c r="U9"/>
  <c r="R9"/>
  <c r="S9" s="1"/>
  <c r="O9"/>
  <c r="P9" s="1"/>
  <c r="L9"/>
  <c r="J9"/>
  <c r="I9"/>
  <c r="G9"/>
  <c r="F9"/>
  <c r="C9"/>
  <c r="AX8"/>
  <c r="AJ8"/>
  <c r="AG8"/>
  <c r="AH8" s="1"/>
  <c r="AD8"/>
  <c r="AA8"/>
  <c r="AB8" s="1"/>
  <c r="X8"/>
  <c r="Y8" s="1"/>
  <c r="U8"/>
  <c r="V8" s="1"/>
  <c r="AS8" s="1"/>
  <c r="R8"/>
  <c r="S8" s="1"/>
  <c r="O8"/>
  <c r="M8"/>
  <c r="L8"/>
  <c r="J8"/>
  <c r="I8"/>
  <c r="F8"/>
  <c r="C8"/>
  <c r="AX7"/>
  <c r="AQ7"/>
  <c r="AJ7"/>
  <c r="AG7"/>
  <c r="AE7"/>
  <c r="AD7"/>
  <c r="AB7"/>
  <c r="AA7"/>
  <c r="X7"/>
  <c r="U7"/>
  <c r="V7" s="1"/>
  <c r="AS7" s="1"/>
  <c r="R7"/>
  <c r="S7" s="1"/>
  <c r="O7"/>
  <c r="L7"/>
  <c r="M7" s="1"/>
  <c r="I7"/>
  <c r="J7" s="1"/>
  <c r="F7"/>
  <c r="C7"/>
  <c r="D7" s="1"/>
  <c r="AX6"/>
  <c r="AQ6"/>
  <c r="AQ36" s="1"/>
  <c r="AJ6"/>
  <c r="AG6"/>
  <c r="AD6"/>
  <c r="AE6" s="1"/>
  <c r="AA6"/>
  <c r="AB6" s="1"/>
  <c r="X6"/>
  <c r="U6"/>
  <c r="V6" s="1"/>
  <c r="AS6" s="1"/>
  <c r="R6"/>
  <c r="S6" s="1"/>
  <c r="O6"/>
  <c r="M6"/>
  <c r="L6"/>
  <c r="I6"/>
  <c r="F6"/>
  <c r="G6" s="1"/>
  <c r="C6"/>
  <c r="D6" s="1"/>
  <c r="AM6" s="1"/>
  <c r="AM36" s="1"/>
  <c r="AX5"/>
  <c r="AX36" s="1"/>
  <c r="AJ5"/>
  <c r="AG5"/>
  <c r="AH5" s="1"/>
  <c r="AD5"/>
  <c r="AE5" s="1"/>
  <c r="AA5"/>
  <c r="X5"/>
  <c r="Y5" s="1"/>
  <c r="U5"/>
  <c r="V5" s="1"/>
  <c r="R5"/>
  <c r="S5" s="1"/>
  <c r="O5"/>
  <c r="M5"/>
  <c r="L5"/>
  <c r="I5"/>
  <c r="F5"/>
  <c r="G5" s="1"/>
  <c r="C5"/>
  <c r="D5" s="1"/>
  <c r="B2"/>
  <c r="AT58" i="84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P33" s="1"/>
  <c r="D46"/>
  <c r="AI44"/>
  <c r="AV36"/>
  <c r="AO36"/>
  <c r="AK36"/>
  <c r="AX35"/>
  <c r="AW35"/>
  <c r="AP35"/>
  <c r="AN35"/>
  <c r="AJ35"/>
  <c r="AG35"/>
  <c r="AB35"/>
  <c r="AA35"/>
  <c r="U35"/>
  <c r="V35" s="1"/>
  <c r="O35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X33"/>
  <c r="Y33" s="1"/>
  <c r="AT33" s="1"/>
  <c r="U33"/>
  <c r="V33" s="1"/>
  <c r="R33"/>
  <c r="S33" s="1"/>
  <c r="Q33"/>
  <c r="O33"/>
  <c r="L33"/>
  <c r="I33"/>
  <c r="F33"/>
  <c r="C33"/>
  <c r="D33" s="1"/>
  <c r="AX32"/>
  <c r="AW32"/>
  <c r="AP32"/>
  <c r="AN32"/>
  <c r="AJ32"/>
  <c r="AG32"/>
  <c r="AD32"/>
  <c r="AA32"/>
  <c r="X32"/>
  <c r="Y32" s="1"/>
  <c r="AT32" s="1"/>
  <c r="U32"/>
  <c r="V32" s="1"/>
  <c r="R32"/>
  <c r="O32"/>
  <c r="P32" s="1"/>
  <c r="L32"/>
  <c r="I32"/>
  <c r="F32"/>
  <c r="C32"/>
  <c r="D32" s="1"/>
  <c r="AX31"/>
  <c r="AW31"/>
  <c r="AP31"/>
  <c r="AN31"/>
  <c r="AJ31"/>
  <c r="AG31"/>
  <c r="AD31"/>
  <c r="AE31" s="1"/>
  <c r="AA31"/>
  <c r="X31"/>
  <c r="Y31" s="1"/>
  <c r="AT31" s="1"/>
  <c r="U31"/>
  <c r="R31"/>
  <c r="O31"/>
  <c r="P31" s="1"/>
  <c r="L31"/>
  <c r="I31"/>
  <c r="F31"/>
  <c r="C31"/>
  <c r="D31" s="1"/>
  <c r="AX30"/>
  <c r="AW30"/>
  <c r="AP30"/>
  <c r="AN30"/>
  <c r="AJ30"/>
  <c r="AG30"/>
  <c r="AD30"/>
  <c r="AA30"/>
  <c r="AB30" s="1"/>
  <c r="X30"/>
  <c r="Y30" s="1"/>
  <c r="AT30" s="1"/>
  <c r="U30"/>
  <c r="R30"/>
  <c r="O30"/>
  <c r="P30" s="1"/>
  <c r="L30"/>
  <c r="I30"/>
  <c r="J30" s="1"/>
  <c r="F30"/>
  <c r="C30"/>
  <c r="AX29"/>
  <c r="AW29"/>
  <c r="AN29"/>
  <c r="AJ29"/>
  <c r="AG29"/>
  <c r="AD29"/>
  <c r="AE29" s="1"/>
  <c r="AA29"/>
  <c r="X29"/>
  <c r="U29"/>
  <c r="R29"/>
  <c r="O29"/>
  <c r="P29" s="1"/>
  <c r="L29"/>
  <c r="I29"/>
  <c r="J29" s="1"/>
  <c r="F29"/>
  <c r="C29"/>
  <c r="AX28"/>
  <c r="AW28"/>
  <c r="AR28"/>
  <c r="AP28"/>
  <c r="AN28"/>
  <c r="AJ28"/>
  <c r="AG28"/>
  <c r="AD28"/>
  <c r="AA28"/>
  <c r="AB28" s="1"/>
  <c r="X28"/>
  <c r="V28"/>
  <c r="U28"/>
  <c r="R28"/>
  <c r="O28"/>
  <c r="P28" s="1"/>
  <c r="L28"/>
  <c r="I28"/>
  <c r="J28" s="1"/>
  <c r="F28"/>
  <c r="C28"/>
  <c r="AX27"/>
  <c r="AW27"/>
  <c r="AP27"/>
  <c r="AP36" s="1"/>
  <c r="AN27"/>
  <c r="AJ27"/>
  <c r="AG27"/>
  <c r="AD27"/>
  <c r="AE27" s="1"/>
  <c r="AA27"/>
  <c r="X27"/>
  <c r="Y27" s="1"/>
  <c r="AT27" s="1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P26" s="1"/>
  <c r="L26"/>
  <c r="I26"/>
  <c r="F26"/>
  <c r="D26"/>
  <c r="C26"/>
  <c r="AX25"/>
  <c r="AW25"/>
  <c r="AN25"/>
  <c r="AN36" s="1"/>
  <c r="AJ25"/>
  <c r="AG25"/>
  <c r="AD25"/>
  <c r="AE25" s="1"/>
  <c r="AA25"/>
  <c r="X25"/>
  <c r="V25"/>
  <c r="U25"/>
  <c r="R25"/>
  <c r="O25"/>
  <c r="P25" s="1"/>
  <c r="M25"/>
  <c r="L25"/>
  <c r="I25"/>
  <c r="F25"/>
  <c r="D25"/>
  <c r="C25"/>
  <c r="AX24"/>
  <c r="AW24"/>
  <c r="AJ24"/>
  <c r="AG24"/>
  <c r="AE24"/>
  <c r="AD24"/>
  <c r="AB24"/>
  <c r="AA24"/>
  <c r="X24"/>
  <c r="U24"/>
  <c r="R24"/>
  <c r="O24"/>
  <c r="P24" s="1"/>
  <c r="L24"/>
  <c r="I24"/>
  <c r="F24"/>
  <c r="C24"/>
  <c r="D24" s="1"/>
  <c r="AX23"/>
  <c r="AW23"/>
  <c r="AJ23"/>
  <c r="AG23"/>
  <c r="AD23"/>
  <c r="AA23"/>
  <c r="AB23" s="1"/>
  <c r="X23"/>
  <c r="U23"/>
  <c r="R23"/>
  <c r="O23"/>
  <c r="P23" s="1"/>
  <c r="L23"/>
  <c r="I23"/>
  <c r="J23" s="1"/>
  <c r="F23"/>
  <c r="C23"/>
  <c r="AX22"/>
  <c r="AW22"/>
  <c r="AJ22"/>
  <c r="AG22"/>
  <c r="AD22"/>
  <c r="AB22"/>
  <c r="AA22"/>
  <c r="X22"/>
  <c r="U22"/>
  <c r="V22" s="1"/>
  <c r="R22"/>
  <c r="O22"/>
  <c r="P22" s="1"/>
  <c r="L22"/>
  <c r="I22"/>
  <c r="J22" s="1"/>
  <c r="F22"/>
  <c r="C22"/>
  <c r="AX21"/>
  <c r="AW21"/>
  <c r="AJ21"/>
  <c r="AG21"/>
  <c r="AD21"/>
  <c r="AA21"/>
  <c r="AB21" s="1"/>
  <c r="X21"/>
  <c r="U21"/>
  <c r="V21" s="1"/>
  <c r="R21"/>
  <c r="O21"/>
  <c r="L21"/>
  <c r="I21"/>
  <c r="J21" s="1"/>
  <c r="F21"/>
  <c r="C21"/>
  <c r="AX20"/>
  <c r="AW20"/>
  <c r="AJ20"/>
  <c r="AG20"/>
  <c r="AD20"/>
  <c r="AE20" s="1"/>
  <c r="AA20"/>
  <c r="X20"/>
  <c r="V20"/>
  <c r="U20"/>
  <c r="R20"/>
  <c r="O20"/>
  <c r="M20"/>
  <c r="L20"/>
  <c r="I20"/>
  <c r="J20" s="1"/>
  <c r="F20"/>
  <c r="C20"/>
  <c r="D20" s="1"/>
  <c r="AW19"/>
  <c r="AJ19"/>
  <c r="AG19"/>
  <c r="AE19"/>
  <c r="AD19"/>
  <c r="AA19"/>
  <c r="X19"/>
  <c r="V19"/>
  <c r="U19"/>
  <c r="R19"/>
  <c r="O19"/>
  <c r="M19"/>
  <c r="L19"/>
  <c r="J19"/>
  <c r="I19"/>
  <c r="G19"/>
  <c r="F19"/>
  <c r="D19"/>
  <c r="C19"/>
  <c r="AX18"/>
  <c r="AJ18"/>
  <c r="AG18"/>
  <c r="AD18"/>
  <c r="AE18" s="1"/>
  <c r="AA18"/>
  <c r="X18"/>
  <c r="U18"/>
  <c r="R18"/>
  <c r="O18"/>
  <c r="L18"/>
  <c r="M18" s="1"/>
  <c r="I18"/>
  <c r="F18"/>
  <c r="G18" s="1"/>
  <c r="C18"/>
  <c r="D18" s="1"/>
  <c r="AX17"/>
  <c r="AW17"/>
  <c r="AJ17"/>
  <c r="AG17"/>
  <c r="AD17"/>
  <c r="AE17" s="1"/>
  <c r="AA17"/>
  <c r="X17"/>
  <c r="U17"/>
  <c r="R17"/>
  <c r="O17"/>
  <c r="P17" s="1"/>
  <c r="L17"/>
  <c r="I17"/>
  <c r="F17"/>
  <c r="G17" s="1"/>
  <c r="C17"/>
  <c r="D17" s="1"/>
  <c r="AX16"/>
  <c r="AW16"/>
  <c r="AJ16"/>
  <c r="AG16"/>
  <c r="AD16"/>
  <c r="AA16"/>
  <c r="AB16" s="1"/>
  <c r="X16"/>
  <c r="U16"/>
  <c r="R16"/>
  <c r="O16"/>
  <c r="P16" s="1"/>
  <c r="L16"/>
  <c r="J16"/>
  <c r="I16"/>
  <c r="F16"/>
  <c r="G16" s="1"/>
  <c r="C16"/>
  <c r="AX15"/>
  <c r="AW15"/>
  <c r="AJ15"/>
  <c r="AG15"/>
  <c r="AD15"/>
  <c r="AA15"/>
  <c r="AB15" s="1"/>
  <c r="X15"/>
  <c r="U15"/>
  <c r="R15"/>
  <c r="O15"/>
  <c r="P15" s="1"/>
  <c r="L15"/>
  <c r="I15"/>
  <c r="F15"/>
  <c r="G15" s="1"/>
  <c r="C15"/>
  <c r="AX14"/>
  <c r="AW14"/>
  <c r="AJ14"/>
  <c r="AG14"/>
  <c r="AD14"/>
  <c r="AA14"/>
  <c r="AB14" s="1"/>
  <c r="X14"/>
  <c r="U14"/>
  <c r="V14" s="1"/>
  <c r="R14"/>
  <c r="S14" s="1"/>
  <c r="O14"/>
  <c r="P14" s="1"/>
  <c r="L14"/>
  <c r="I14"/>
  <c r="J14" s="1"/>
  <c r="F14"/>
  <c r="D14"/>
  <c r="C14"/>
  <c r="AX13"/>
  <c r="AW13"/>
  <c r="AJ13"/>
  <c r="AG13"/>
  <c r="AE13"/>
  <c r="AD13"/>
  <c r="AB13"/>
  <c r="AA13"/>
  <c r="X13"/>
  <c r="U13"/>
  <c r="V13" s="1"/>
  <c r="S13"/>
  <c r="R13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L12"/>
  <c r="M12" s="1"/>
  <c r="I12"/>
  <c r="F12"/>
  <c r="G12" s="1"/>
  <c r="C12"/>
  <c r="D12" s="1"/>
  <c r="AX11"/>
  <c r="AJ11"/>
  <c r="AG11"/>
  <c r="AH11" s="1"/>
  <c r="AW11" s="1"/>
  <c r="AW36" s="1"/>
  <c r="AE11"/>
  <c r="AD11"/>
  <c r="AA11"/>
  <c r="X11"/>
  <c r="Y11" s="1"/>
  <c r="U11"/>
  <c r="V11" s="1"/>
  <c r="AS11" s="1"/>
  <c r="R11"/>
  <c r="O11"/>
  <c r="P11" s="1"/>
  <c r="L11"/>
  <c r="M11" s="1"/>
  <c r="I11"/>
  <c r="F11"/>
  <c r="G11" s="1"/>
  <c r="C11"/>
  <c r="D11" s="1"/>
  <c r="AX10"/>
  <c r="AJ10"/>
  <c r="AH10"/>
  <c r="AG10"/>
  <c r="AD10"/>
  <c r="AA10"/>
  <c r="AB10" s="1"/>
  <c r="X10"/>
  <c r="Y10" s="1"/>
  <c r="U10"/>
  <c r="R10"/>
  <c r="O10"/>
  <c r="P10" s="1"/>
  <c r="L10"/>
  <c r="I10"/>
  <c r="F10"/>
  <c r="G10" s="1"/>
  <c r="C10"/>
  <c r="D10" s="1"/>
  <c r="AX9"/>
  <c r="AJ9"/>
  <c r="AG9"/>
  <c r="AD9"/>
  <c r="AA9"/>
  <c r="AB9" s="1"/>
  <c r="X9"/>
  <c r="Y9" s="1"/>
  <c r="U9"/>
  <c r="R9"/>
  <c r="O9"/>
  <c r="P9" s="1"/>
  <c r="L9"/>
  <c r="J9"/>
  <c r="I9"/>
  <c r="G9"/>
  <c r="F9"/>
  <c r="C9"/>
  <c r="AX8"/>
  <c r="AJ8"/>
  <c r="AG8"/>
  <c r="AD8"/>
  <c r="AA8"/>
  <c r="AB8" s="1"/>
  <c r="X8"/>
  <c r="Y8" s="1"/>
  <c r="U8"/>
  <c r="V8" s="1"/>
  <c r="AS8" s="1"/>
  <c r="R8"/>
  <c r="O8"/>
  <c r="L8"/>
  <c r="I8"/>
  <c r="J8" s="1"/>
  <c r="F8"/>
  <c r="C8"/>
  <c r="AX7"/>
  <c r="AQ7"/>
  <c r="AJ7"/>
  <c r="AG7"/>
  <c r="AD7"/>
  <c r="AE7" s="1"/>
  <c r="AA7"/>
  <c r="AB7" s="1"/>
  <c r="X7"/>
  <c r="V7"/>
  <c r="AS7" s="1"/>
  <c r="U7"/>
  <c r="S7"/>
  <c r="R7"/>
  <c r="O7"/>
  <c r="L7"/>
  <c r="J7"/>
  <c r="I7"/>
  <c r="F7"/>
  <c r="C7"/>
  <c r="AX6"/>
  <c r="AQ6"/>
  <c r="AQ36" s="1"/>
  <c r="AJ6"/>
  <c r="AG6"/>
  <c r="AD6"/>
  <c r="AE6" s="1"/>
  <c r="AA6"/>
  <c r="X6"/>
  <c r="U6"/>
  <c r="V6" s="1"/>
  <c r="AS6" s="1"/>
  <c r="R6"/>
  <c r="S6" s="1"/>
  <c r="O6"/>
  <c r="L6"/>
  <c r="M6" s="1"/>
  <c r="I6"/>
  <c r="F6"/>
  <c r="C6"/>
  <c r="D6" s="1"/>
  <c r="AM6" s="1"/>
  <c r="AM36" s="1"/>
  <c r="AX5"/>
  <c r="AJ5"/>
  <c r="AH5"/>
  <c r="AG5"/>
  <c r="AE5"/>
  <c r="AD5"/>
  <c r="AA5"/>
  <c r="X5"/>
  <c r="U5"/>
  <c r="V5" s="1"/>
  <c r="R5"/>
  <c r="S5" s="1"/>
  <c r="O5"/>
  <c r="L5"/>
  <c r="M5" s="1"/>
  <c r="I5"/>
  <c r="F5"/>
  <c r="C5"/>
  <c r="D5" s="1"/>
  <c r="B2"/>
  <c r="AT58" i="83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U35"/>
  <c r="V35" s="1"/>
  <c r="O35"/>
  <c r="L35"/>
  <c r="J35"/>
  <c r="F35"/>
  <c r="AX34"/>
  <c r="AW34"/>
  <c r="AP34"/>
  <c r="AN34"/>
  <c r="AJ34"/>
  <c r="AG34"/>
  <c r="AD34"/>
  <c r="AE34" s="1"/>
  <c r="AA34"/>
  <c r="X34"/>
  <c r="Y34" s="1"/>
  <c r="AT34" s="1"/>
  <c r="U34"/>
  <c r="V34" s="1"/>
  <c r="P34"/>
  <c r="O34"/>
  <c r="L34"/>
  <c r="I34"/>
  <c r="J34" s="1"/>
  <c r="F34"/>
  <c r="C34"/>
  <c r="D34" s="1"/>
  <c r="AX33"/>
  <c r="AW33"/>
  <c r="AP33"/>
  <c r="AN33"/>
  <c r="AJ33"/>
  <c r="AG33"/>
  <c r="AD33"/>
  <c r="AE33" s="1"/>
  <c r="AA33"/>
  <c r="Y33"/>
  <c r="AT33" s="1"/>
  <c r="X33"/>
  <c r="U33"/>
  <c r="R33"/>
  <c r="S33" s="1"/>
  <c r="Q33"/>
  <c r="O33"/>
  <c r="L33"/>
  <c r="I33"/>
  <c r="F33"/>
  <c r="C33"/>
  <c r="D33" s="1"/>
  <c r="AX32"/>
  <c r="AW32"/>
  <c r="AP32"/>
  <c r="AN32"/>
  <c r="AJ32"/>
  <c r="AG32"/>
  <c r="AD32"/>
  <c r="AA32"/>
  <c r="AB32" s="1"/>
  <c r="X32"/>
  <c r="Y32" s="1"/>
  <c r="AT32" s="1"/>
  <c r="U32"/>
  <c r="V32" s="1"/>
  <c r="R32"/>
  <c r="O32"/>
  <c r="L32"/>
  <c r="I32"/>
  <c r="F32"/>
  <c r="C32"/>
  <c r="AX31"/>
  <c r="AW31"/>
  <c r="AP31"/>
  <c r="AN31"/>
  <c r="AJ31"/>
  <c r="AG31"/>
  <c r="AD31"/>
  <c r="AE31" s="1"/>
  <c r="AA31"/>
  <c r="X31"/>
  <c r="Y31" s="1"/>
  <c r="AT31" s="1"/>
  <c r="U31"/>
  <c r="R31"/>
  <c r="O31"/>
  <c r="P31" s="1"/>
  <c r="L31"/>
  <c r="I31"/>
  <c r="F31"/>
  <c r="C31"/>
  <c r="D31" s="1"/>
  <c r="AX30"/>
  <c r="AW30"/>
  <c r="AP30"/>
  <c r="AN30"/>
  <c r="AJ30"/>
  <c r="AG30"/>
  <c r="AD30"/>
  <c r="AB30"/>
  <c r="AA30"/>
  <c r="X30"/>
  <c r="U30"/>
  <c r="R30"/>
  <c r="O30"/>
  <c r="P30" s="1"/>
  <c r="L30"/>
  <c r="I30"/>
  <c r="F30"/>
  <c r="C30"/>
  <c r="AX29"/>
  <c r="AW29"/>
  <c r="AN29"/>
  <c r="AJ29"/>
  <c r="AG29"/>
  <c r="AD29"/>
  <c r="AA29"/>
  <c r="X29"/>
  <c r="U29"/>
  <c r="R29"/>
  <c r="O29"/>
  <c r="P29" s="1"/>
  <c r="L29"/>
  <c r="I29"/>
  <c r="J29" s="1"/>
  <c r="F29"/>
  <c r="C29"/>
  <c r="AX28"/>
  <c r="AW28"/>
  <c r="AR28"/>
  <c r="AP28"/>
  <c r="AN28"/>
  <c r="AJ28"/>
  <c r="AG28"/>
  <c r="AE28"/>
  <c r="AD28"/>
  <c r="AA28"/>
  <c r="X28"/>
  <c r="V28"/>
  <c r="U28"/>
  <c r="R28"/>
  <c r="O28"/>
  <c r="P28" s="1"/>
  <c r="L28"/>
  <c r="I28"/>
  <c r="J28" s="1"/>
  <c r="F28"/>
  <c r="C28"/>
  <c r="AX27"/>
  <c r="AW27"/>
  <c r="AP27"/>
  <c r="AP36" s="1"/>
  <c r="AN27"/>
  <c r="AJ27"/>
  <c r="AG27"/>
  <c r="AD27"/>
  <c r="AE27" s="1"/>
  <c r="AA27"/>
  <c r="X27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V26"/>
  <c r="U26"/>
  <c r="R26"/>
  <c r="O26"/>
  <c r="L26"/>
  <c r="I26"/>
  <c r="F26"/>
  <c r="C26"/>
  <c r="D26" s="1"/>
  <c r="AX25"/>
  <c r="AW25"/>
  <c r="AN25"/>
  <c r="AJ25"/>
  <c r="AG25"/>
  <c r="AD25"/>
  <c r="AE25" s="1"/>
  <c r="AA25"/>
  <c r="X25"/>
  <c r="U25"/>
  <c r="V25" s="1"/>
  <c r="R25"/>
  <c r="O25"/>
  <c r="P25" s="1"/>
  <c r="L25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M24" s="1"/>
  <c r="I24"/>
  <c r="F24"/>
  <c r="D24"/>
  <c r="C24"/>
  <c r="AX23"/>
  <c r="AW23"/>
  <c r="AJ23"/>
  <c r="AG23"/>
  <c r="AD23"/>
  <c r="AA23"/>
  <c r="AB23" s="1"/>
  <c r="X23"/>
  <c r="U23"/>
  <c r="V23" s="1"/>
  <c r="R23"/>
  <c r="O23"/>
  <c r="P23" s="1"/>
  <c r="L23"/>
  <c r="I23"/>
  <c r="F23"/>
  <c r="C23"/>
  <c r="AX22"/>
  <c r="AW22"/>
  <c r="AJ22"/>
  <c r="AG22"/>
  <c r="AD22"/>
  <c r="AA22"/>
  <c r="AB22" s="1"/>
  <c r="X22"/>
  <c r="U22"/>
  <c r="R22"/>
  <c r="P22"/>
  <c r="O22"/>
  <c r="L22"/>
  <c r="I22"/>
  <c r="J22" s="1"/>
  <c r="F22"/>
  <c r="C22"/>
  <c r="D22" s="1"/>
  <c r="AX21"/>
  <c r="AW21"/>
  <c r="AJ21"/>
  <c r="AG21"/>
  <c r="AD21"/>
  <c r="AA21"/>
  <c r="AB21" s="1"/>
  <c r="X21"/>
  <c r="U21"/>
  <c r="V21" s="1"/>
  <c r="R21"/>
  <c r="O21"/>
  <c r="L21"/>
  <c r="M21" s="1"/>
  <c r="I21"/>
  <c r="J21" s="1"/>
  <c r="F21"/>
  <c r="C21"/>
  <c r="AX20"/>
  <c r="AW20"/>
  <c r="AJ20"/>
  <c r="AG20"/>
  <c r="AD20"/>
  <c r="AE20" s="1"/>
  <c r="AA20"/>
  <c r="X20"/>
  <c r="U20"/>
  <c r="V20" s="1"/>
  <c r="R20"/>
  <c r="O20"/>
  <c r="L20"/>
  <c r="M20" s="1"/>
  <c r="I20"/>
  <c r="J20" s="1"/>
  <c r="F20"/>
  <c r="D20"/>
  <c r="C20"/>
  <c r="AW19"/>
  <c r="AJ19"/>
  <c r="AG19"/>
  <c r="AD19"/>
  <c r="AE19" s="1"/>
  <c r="AA19"/>
  <c r="X19"/>
  <c r="U19"/>
  <c r="R19"/>
  <c r="O19"/>
  <c r="L19"/>
  <c r="M19" s="1"/>
  <c r="I19"/>
  <c r="J19" s="1"/>
  <c r="F19"/>
  <c r="C19"/>
  <c r="D19" s="1"/>
  <c r="AX18"/>
  <c r="AJ18"/>
  <c r="AG18"/>
  <c r="AD18"/>
  <c r="AA18"/>
  <c r="X18"/>
  <c r="U18"/>
  <c r="V18" s="1"/>
  <c r="R18"/>
  <c r="O18"/>
  <c r="L18"/>
  <c r="M18" s="1"/>
  <c r="I18"/>
  <c r="F18"/>
  <c r="G18" s="1"/>
  <c r="C18"/>
  <c r="AX17"/>
  <c r="AW17"/>
  <c r="AJ17"/>
  <c r="AG17"/>
  <c r="AD17"/>
  <c r="AE17" s="1"/>
  <c r="AA17"/>
  <c r="X17"/>
  <c r="U17"/>
  <c r="V17" s="1"/>
  <c r="R17"/>
  <c r="O17"/>
  <c r="P17" s="1"/>
  <c r="L17"/>
  <c r="I17"/>
  <c r="F17"/>
  <c r="G17" s="1"/>
  <c r="C17"/>
  <c r="D17" s="1"/>
  <c r="AX16"/>
  <c r="AW16"/>
  <c r="AJ16"/>
  <c r="AG16"/>
  <c r="AD16"/>
  <c r="AA16"/>
  <c r="AB16" s="1"/>
  <c r="X16"/>
  <c r="U16"/>
  <c r="V16" s="1"/>
  <c r="R16"/>
  <c r="O16"/>
  <c r="P16" s="1"/>
  <c r="L16"/>
  <c r="I16"/>
  <c r="F16"/>
  <c r="G16" s="1"/>
  <c r="C16"/>
  <c r="AX15"/>
  <c r="AW15"/>
  <c r="AJ15"/>
  <c r="AG15"/>
  <c r="AD15"/>
  <c r="AA15"/>
  <c r="AB15" s="1"/>
  <c r="X15"/>
  <c r="U15"/>
  <c r="R15"/>
  <c r="O15"/>
  <c r="P15" s="1"/>
  <c r="L15"/>
  <c r="M15" s="1"/>
  <c r="I15"/>
  <c r="F15"/>
  <c r="G15" s="1"/>
  <c r="C15"/>
  <c r="AX14"/>
  <c r="AW14"/>
  <c r="AJ14"/>
  <c r="AG14"/>
  <c r="AD14"/>
  <c r="AA14"/>
  <c r="X14"/>
  <c r="U14"/>
  <c r="V14" s="1"/>
  <c r="R14"/>
  <c r="S14" s="1"/>
  <c r="O14"/>
  <c r="P14" s="1"/>
  <c r="L14"/>
  <c r="I14"/>
  <c r="J14" s="1"/>
  <c r="F14"/>
  <c r="C14"/>
  <c r="AX13"/>
  <c r="AW13"/>
  <c r="AJ13"/>
  <c r="AG13"/>
  <c r="AD13"/>
  <c r="AE13" s="1"/>
  <c r="AB13"/>
  <c r="AA13"/>
  <c r="X13"/>
  <c r="U13"/>
  <c r="V13" s="1"/>
  <c r="R13"/>
  <c r="S13" s="1"/>
  <c r="O13"/>
  <c r="M13"/>
  <c r="L13"/>
  <c r="J13"/>
  <c r="I13"/>
  <c r="F13"/>
  <c r="C13"/>
  <c r="D13" s="1"/>
  <c r="AX12"/>
  <c r="AW12"/>
  <c r="AJ12"/>
  <c r="AG12"/>
  <c r="AD12"/>
  <c r="AE12" s="1"/>
  <c r="AA12"/>
  <c r="X12"/>
  <c r="U12"/>
  <c r="S12"/>
  <c r="R12"/>
  <c r="O12"/>
  <c r="L12"/>
  <c r="M12" s="1"/>
  <c r="I12"/>
  <c r="F12"/>
  <c r="G12" s="1"/>
  <c r="C12"/>
  <c r="D12" s="1"/>
  <c r="AX11"/>
  <c r="AJ11"/>
  <c r="AG11"/>
  <c r="AH11" s="1"/>
  <c r="AW11" s="1"/>
  <c r="AD11"/>
  <c r="AA11"/>
  <c r="X11"/>
  <c r="Y11" s="1"/>
  <c r="U11"/>
  <c r="V11" s="1"/>
  <c r="AS11" s="1"/>
  <c r="R11"/>
  <c r="O11"/>
  <c r="P11" s="1"/>
  <c r="L11"/>
  <c r="I11"/>
  <c r="F11"/>
  <c r="G11" s="1"/>
  <c r="C11"/>
  <c r="D11" s="1"/>
  <c r="AX10"/>
  <c r="AJ10"/>
  <c r="AG10"/>
  <c r="AH10" s="1"/>
  <c r="AD10"/>
  <c r="AE10" s="1"/>
  <c r="AA10"/>
  <c r="X10"/>
  <c r="Y10" s="1"/>
  <c r="U10"/>
  <c r="R10"/>
  <c r="O10"/>
  <c r="P10" s="1"/>
  <c r="L10"/>
  <c r="M10" s="1"/>
  <c r="I10"/>
  <c r="J10" s="1"/>
  <c r="F10"/>
  <c r="G10" s="1"/>
  <c r="D10"/>
  <c r="C10"/>
  <c r="AX9"/>
  <c r="AJ9"/>
  <c r="AG9"/>
  <c r="AD9"/>
  <c r="AB9"/>
  <c r="AA9"/>
  <c r="X9"/>
  <c r="Y9" s="1"/>
  <c r="U9"/>
  <c r="V9" s="1"/>
  <c r="AS9" s="1"/>
  <c r="R9"/>
  <c r="O9"/>
  <c r="P9" s="1"/>
  <c r="L9"/>
  <c r="I9"/>
  <c r="F9"/>
  <c r="G9" s="1"/>
  <c r="C9"/>
  <c r="AX8"/>
  <c r="AJ8"/>
  <c r="AG8"/>
  <c r="AD8"/>
  <c r="AA8"/>
  <c r="AB8" s="1"/>
  <c r="X8"/>
  <c r="Y8" s="1"/>
  <c r="U8"/>
  <c r="R8"/>
  <c r="S8" s="1"/>
  <c r="O8"/>
  <c r="L8"/>
  <c r="I8"/>
  <c r="J8" s="1"/>
  <c r="F8"/>
  <c r="C8"/>
  <c r="AX7"/>
  <c r="AQ7"/>
  <c r="AJ7"/>
  <c r="AG7"/>
  <c r="AD7"/>
  <c r="AA7"/>
  <c r="AB7" s="1"/>
  <c r="X7"/>
  <c r="U7"/>
  <c r="V7" s="1"/>
  <c r="AS7" s="1"/>
  <c r="R7"/>
  <c r="S7" s="1"/>
  <c r="O7"/>
  <c r="M7"/>
  <c r="L7"/>
  <c r="J7"/>
  <c r="I7"/>
  <c r="F7"/>
  <c r="C7"/>
  <c r="AX6"/>
  <c r="AX36" s="1"/>
  <c r="AQ6"/>
  <c r="AQ36" s="1"/>
  <c r="AJ6"/>
  <c r="AG6"/>
  <c r="AE6"/>
  <c r="AD6"/>
  <c r="AA6"/>
  <c r="X6"/>
  <c r="V6"/>
  <c r="AS6" s="1"/>
  <c r="U6"/>
  <c r="S6"/>
  <c r="R6"/>
  <c r="O6"/>
  <c r="L6"/>
  <c r="M6" s="1"/>
  <c r="I6"/>
  <c r="F6"/>
  <c r="G6" s="1"/>
  <c r="C6"/>
  <c r="D6" s="1"/>
  <c r="AM6" s="1"/>
  <c r="AM36" s="1"/>
  <c r="AX5"/>
  <c r="AJ5"/>
  <c r="AG5"/>
  <c r="AD5"/>
  <c r="AE5" s="1"/>
  <c r="AA5"/>
  <c r="X5"/>
  <c r="U5"/>
  <c r="V5" s="1"/>
  <c r="R5"/>
  <c r="O5"/>
  <c r="L5"/>
  <c r="M5" s="1"/>
  <c r="I5"/>
  <c r="F5"/>
  <c r="C5"/>
  <c r="D5" s="1"/>
  <c r="B2"/>
  <c r="AT58" i="82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I44"/>
  <c r="AV36"/>
  <c r="AO36"/>
  <c r="AK36"/>
  <c r="AX35"/>
  <c r="AW35"/>
  <c r="AP35"/>
  <c r="AN35"/>
  <c r="AJ35"/>
  <c r="AG35"/>
  <c r="AA35"/>
  <c r="AB35" s="1"/>
  <c r="U35"/>
  <c r="V35" s="1"/>
  <c r="O35"/>
  <c r="L35"/>
  <c r="J35"/>
  <c r="F35"/>
  <c r="AX34"/>
  <c r="AW34"/>
  <c r="AP34"/>
  <c r="AN34"/>
  <c r="AJ34"/>
  <c r="AG34"/>
  <c r="AD34"/>
  <c r="AE34" s="1"/>
  <c r="AA34"/>
  <c r="X34"/>
  <c r="U34"/>
  <c r="V34" s="1"/>
  <c r="O34"/>
  <c r="L34"/>
  <c r="I34"/>
  <c r="J34" s="1"/>
  <c r="F34"/>
  <c r="C34"/>
  <c r="D34" s="1"/>
  <c r="AX33"/>
  <c r="AW33"/>
  <c r="AP33"/>
  <c r="AN33"/>
  <c r="AJ33"/>
  <c r="AG33"/>
  <c r="AD33"/>
  <c r="AE33" s="1"/>
  <c r="AA33"/>
  <c r="Y33"/>
  <c r="AT33" s="1"/>
  <c r="X33"/>
  <c r="U33"/>
  <c r="V33" s="1"/>
  <c r="R33"/>
  <c r="S33" s="1"/>
  <c r="Q33"/>
  <c r="O33"/>
  <c r="P33" s="1"/>
  <c r="L33"/>
  <c r="I33"/>
  <c r="F33"/>
  <c r="C33"/>
  <c r="D33" s="1"/>
  <c r="AX32"/>
  <c r="AW32"/>
  <c r="AP32"/>
  <c r="AN32"/>
  <c r="AJ32"/>
  <c r="AG32"/>
  <c r="AD32"/>
  <c r="AA32"/>
  <c r="X32"/>
  <c r="Y32" s="1"/>
  <c r="AT32" s="1"/>
  <c r="U32"/>
  <c r="R32"/>
  <c r="O32"/>
  <c r="P32" s="1"/>
  <c r="L32"/>
  <c r="I32"/>
  <c r="F32"/>
  <c r="C32"/>
  <c r="D32" s="1"/>
  <c r="AX31"/>
  <c r="AW31"/>
  <c r="AP31"/>
  <c r="AN31"/>
  <c r="AJ31"/>
  <c r="AG31"/>
  <c r="AD31"/>
  <c r="AA31"/>
  <c r="AB31" s="1"/>
  <c r="X31"/>
  <c r="Y31" s="1"/>
  <c r="AT31" s="1"/>
  <c r="U31"/>
  <c r="V31" s="1"/>
  <c r="R31"/>
  <c r="S31" s="1"/>
  <c r="AR31" s="1"/>
  <c r="O31"/>
  <c r="P31" s="1"/>
  <c r="L31"/>
  <c r="I31"/>
  <c r="F31"/>
  <c r="C31"/>
  <c r="AX30"/>
  <c r="AW30"/>
  <c r="AP30"/>
  <c r="AN30"/>
  <c r="AJ30"/>
  <c r="AG30"/>
  <c r="AD30"/>
  <c r="AA30"/>
  <c r="AB30" s="1"/>
  <c r="X30"/>
  <c r="Y30" s="1"/>
  <c r="AT30" s="1"/>
  <c r="U30"/>
  <c r="V30" s="1"/>
  <c r="R30"/>
  <c r="S30" s="1"/>
  <c r="AR30" s="1"/>
  <c r="P30"/>
  <c r="O30"/>
  <c r="L30"/>
  <c r="I30"/>
  <c r="J30" s="1"/>
  <c r="F30"/>
  <c r="C30"/>
  <c r="AX29"/>
  <c r="AW29"/>
  <c r="AN29"/>
  <c r="AJ29"/>
  <c r="AG29"/>
  <c r="AD29"/>
  <c r="AE29" s="1"/>
  <c r="AA29"/>
  <c r="X29"/>
  <c r="V29"/>
  <c r="U29"/>
  <c r="R29"/>
  <c r="S29" s="1"/>
  <c r="AR29" s="1"/>
  <c r="O29"/>
  <c r="P29" s="1"/>
  <c r="L29"/>
  <c r="I29"/>
  <c r="J29" s="1"/>
  <c r="F29"/>
  <c r="C29"/>
  <c r="AX28"/>
  <c r="AW28"/>
  <c r="AR28"/>
  <c r="AP28"/>
  <c r="AN28"/>
  <c r="AJ28"/>
  <c r="AG28"/>
  <c r="AD28"/>
  <c r="AE28" s="1"/>
  <c r="AA28"/>
  <c r="AB28" s="1"/>
  <c r="X28"/>
  <c r="U28"/>
  <c r="V28" s="1"/>
  <c r="R28"/>
  <c r="O28"/>
  <c r="L28"/>
  <c r="I28"/>
  <c r="J28" s="1"/>
  <c r="F28"/>
  <c r="C28"/>
  <c r="D28" s="1"/>
  <c r="AX27"/>
  <c r="AW27"/>
  <c r="AP27"/>
  <c r="AP36" s="1"/>
  <c r="AN27"/>
  <c r="AJ27"/>
  <c r="AG27"/>
  <c r="AD27"/>
  <c r="AE27" s="1"/>
  <c r="AA27"/>
  <c r="AB27" s="1"/>
  <c r="X27"/>
  <c r="Y27" s="1"/>
  <c r="AT27" s="1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AB26" s="1"/>
  <c r="X26"/>
  <c r="U26"/>
  <c r="V26" s="1"/>
  <c r="R26"/>
  <c r="O26"/>
  <c r="P26" s="1"/>
  <c r="L26"/>
  <c r="I26"/>
  <c r="F26"/>
  <c r="D26"/>
  <c r="C26"/>
  <c r="AX25"/>
  <c r="AW25"/>
  <c r="AN25"/>
  <c r="AJ25"/>
  <c r="AG25"/>
  <c r="AD25"/>
  <c r="AE25" s="1"/>
  <c r="AA25"/>
  <c r="X25"/>
  <c r="U25"/>
  <c r="R25"/>
  <c r="O25"/>
  <c r="P25" s="1"/>
  <c r="L25"/>
  <c r="M25" s="1"/>
  <c r="J25"/>
  <c r="I25"/>
  <c r="F25"/>
  <c r="C25"/>
  <c r="D25" s="1"/>
  <c r="AX24"/>
  <c r="AW24"/>
  <c r="AJ24"/>
  <c r="AG24"/>
  <c r="AD24"/>
  <c r="AA24"/>
  <c r="AB24" s="1"/>
  <c r="X24"/>
  <c r="U24"/>
  <c r="V24" s="1"/>
  <c r="R24"/>
  <c r="O24"/>
  <c r="P24" s="1"/>
  <c r="L24"/>
  <c r="I24"/>
  <c r="J24" s="1"/>
  <c r="F24"/>
  <c r="C24"/>
  <c r="AX23"/>
  <c r="AW23"/>
  <c r="AJ23"/>
  <c r="AG23"/>
  <c r="AD23"/>
  <c r="AA23"/>
  <c r="AB23" s="1"/>
  <c r="X23"/>
  <c r="U23"/>
  <c r="R23"/>
  <c r="O23"/>
  <c r="P23" s="1"/>
  <c r="L23"/>
  <c r="M23" s="1"/>
  <c r="I23"/>
  <c r="J23" s="1"/>
  <c r="F23"/>
  <c r="C23"/>
  <c r="AX22"/>
  <c r="AW22"/>
  <c r="AJ22"/>
  <c r="AG22"/>
  <c r="AD22"/>
  <c r="AE22" s="1"/>
  <c r="AA22"/>
  <c r="AB22" s="1"/>
  <c r="X22"/>
  <c r="U22"/>
  <c r="R22"/>
  <c r="O22"/>
  <c r="P22" s="1"/>
  <c r="L22"/>
  <c r="M22" s="1"/>
  <c r="I22"/>
  <c r="J22" s="1"/>
  <c r="F22"/>
  <c r="D22"/>
  <c r="C22"/>
  <c r="AX21"/>
  <c r="AW21"/>
  <c r="AJ21"/>
  <c r="AG21"/>
  <c r="AD21"/>
  <c r="AE21" s="1"/>
  <c r="AA21"/>
  <c r="AB21" s="1"/>
  <c r="X21"/>
  <c r="U21"/>
  <c r="V21" s="1"/>
  <c r="R21"/>
  <c r="O21"/>
  <c r="P21" s="1"/>
  <c r="L21"/>
  <c r="M21" s="1"/>
  <c r="I21"/>
  <c r="J21" s="1"/>
  <c r="F21"/>
  <c r="C21"/>
  <c r="D21" s="1"/>
  <c r="AX20"/>
  <c r="AW20"/>
  <c r="AJ20"/>
  <c r="AG20"/>
  <c r="AE20"/>
  <c r="AD20"/>
  <c r="AA20"/>
  <c r="AB20" s="1"/>
  <c r="X20"/>
  <c r="V20"/>
  <c r="U20"/>
  <c r="R20"/>
  <c r="O20"/>
  <c r="P20" s="1"/>
  <c r="L20"/>
  <c r="M20" s="1"/>
  <c r="I20"/>
  <c r="J20" s="1"/>
  <c r="F20"/>
  <c r="C20"/>
  <c r="D20" s="1"/>
  <c r="AW19"/>
  <c r="AJ19"/>
  <c r="AG19"/>
  <c r="AE19"/>
  <c r="AD19"/>
  <c r="AA19"/>
  <c r="X19"/>
  <c r="U19"/>
  <c r="V19" s="1"/>
  <c r="R19"/>
  <c r="O19"/>
  <c r="L19"/>
  <c r="M19" s="1"/>
  <c r="J19"/>
  <c r="I19"/>
  <c r="F19"/>
  <c r="G19" s="1"/>
  <c r="C19"/>
  <c r="D19" s="1"/>
  <c r="AX18"/>
  <c r="AJ18"/>
  <c r="AG18"/>
  <c r="AD18"/>
  <c r="AE18" s="1"/>
  <c r="AA18"/>
  <c r="X18"/>
  <c r="U18"/>
  <c r="R18"/>
  <c r="O18"/>
  <c r="P18" s="1"/>
  <c r="L18"/>
  <c r="M18" s="1"/>
  <c r="I18"/>
  <c r="J18" s="1"/>
  <c r="F18"/>
  <c r="G18" s="1"/>
  <c r="C18"/>
  <c r="D18" s="1"/>
  <c r="AX17"/>
  <c r="AW17"/>
  <c r="AJ17"/>
  <c r="AG17"/>
  <c r="AE17"/>
  <c r="AD17"/>
  <c r="AA17"/>
  <c r="AB17" s="1"/>
  <c r="X17"/>
  <c r="V17"/>
  <c r="U17"/>
  <c r="R17"/>
  <c r="O17"/>
  <c r="P17" s="1"/>
  <c r="L17"/>
  <c r="I17"/>
  <c r="F17"/>
  <c r="G17" s="1"/>
  <c r="C17"/>
  <c r="AX16"/>
  <c r="AW16"/>
  <c r="AJ16"/>
  <c r="AG16"/>
  <c r="AD16"/>
  <c r="AA16"/>
  <c r="AB16" s="1"/>
  <c r="X16"/>
  <c r="U16"/>
  <c r="V16" s="1"/>
  <c r="R16"/>
  <c r="O16"/>
  <c r="P16" s="1"/>
  <c r="L16"/>
  <c r="M16" s="1"/>
  <c r="I16"/>
  <c r="J16" s="1"/>
  <c r="F16"/>
  <c r="G16" s="1"/>
  <c r="C16"/>
  <c r="AX15"/>
  <c r="AW15"/>
  <c r="AJ15"/>
  <c r="AG15"/>
  <c r="AD15"/>
  <c r="AA15"/>
  <c r="AB15" s="1"/>
  <c r="X15"/>
  <c r="U15"/>
  <c r="R15"/>
  <c r="O15"/>
  <c r="P15" s="1"/>
  <c r="L15"/>
  <c r="I15"/>
  <c r="F15"/>
  <c r="G15" s="1"/>
  <c r="C15"/>
  <c r="AX14"/>
  <c r="AW14"/>
  <c r="AJ14"/>
  <c r="AG14"/>
  <c r="AD14"/>
  <c r="AA14"/>
  <c r="AB14" s="1"/>
  <c r="X14"/>
  <c r="U14"/>
  <c r="V14" s="1"/>
  <c r="R14"/>
  <c r="S14" s="1"/>
  <c r="O14"/>
  <c r="L14"/>
  <c r="M14" s="1"/>
  <c r="I14"/>
  <c r="J14" s="1"/>
  <c r="F14"/>
  <c r="C14"/>
  <c r="AX13"/>
  <c r="AW13"/>
  <c r="AJ13"/>
  <c r="AG13"/>
  <c r="AD13"/>
  <c r="AE13" s="1"/>
  <c r="AA13"/>
  <c r="X13"/>
  <c r="U13"/>
  <c r="V13" s="1"/>
  <c r="R13"/>
  <c r="S13" s="1"/>
  <c r="O13"/>
  <c r="L13"/>
  <c r="M13" s="1"/>
  <c r="J13"/>
  <c r="I13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P12" s="1"/>
  <c r="M12"/>
  <c r="L12"/>
  <c r="I12"/>
  <c r="F12"/>
  <c r="G12" s="1"/>
  <c r="C12"/>
  <c r="D12" s="1"/>
  <c r="AX11"/>
  <c r="AJ11"/>
  <c r="AG11"/>
  <c r="AH11" s="1"/>
  <c r="AW11" s="1"/>
  <c r="AD11"/>
  <c r="AE11" s="1"/>
  <c r="AA11"/>
  <c r="AB11" s="1"/>
  <c r="X11"/>
  <c r="Y11" s="1"/>
  <c r="U11"/>
  <c r="R11"/>
  <c r="P11"/>
  <c r="O11"/>
  <c r="L11"/>
  <c r="M11" s="1"/>
  <c r="I11"/>
  <c r="F11"/>
  <c r="G11" s="1"/>
  <c r="C11"/>
  <c r="D11" s="1"/>
  <c r="AX10"/>
  <c r="AJ10"/>
  <c r="AG10"/>
  <c r="AH10" s="1"/>
  <c r="AD10"/>
  <c r="AA10"/>
  <c r="X10"/>
  <c r="Y10" s="1"/>
  <c r="U10"/>
  <c r="R10"/>
  <c r="S10" s="1"/>
  <c r="P10"/>
  <c r="O10"/>
  <c r="L10"/>
  <c r="M10" s="1"/>
  <c r="I10"/>
  <c r="F10"/>
  <c r="G10" s="1"/>
  <c r="C10"/>
  <c r="AX9"/>
  <c r="AJ9"/>
  <c r="AG9"/>
  <c r="AD9"/>
  <c r="AB9"/>
  <c r="AA9"/>
  <c r="X9"/>
  <c r="Y9" s="1"/>
  <c r="U9"/>
  <c r="V9" s="1"/>
  <c r="AS9" s="1"/>
  <c r="R9"/>
  <c r="S9" s="1"/>
  <c r="O9"/>
  <c r="P9" s="1"/>
  <c r="L9"/>
  <c r="I9"/>
  <c r="F9"/>
  <c r="G9" s="1"/>
  <c r="C9"/>
  <c r="AX8"/>
  <c r="AJ8"/>
  <c r="AG8"/>
  <c r="AD8"/>
  <c r="AA8"/>
  <c r="AB8" s="1"/>
  <c r="X8"/>
  <c r="U8"/>
  <c r="V8" s="1"/>
  <c r="AS8" s="1"/>
  <c r="R8"/>
  <c r="S8" s="1"/>
  <c r="O8"/>
  <c r="L8"/>
  <c r="M8" s="1"/>
  <c r="I8"/>
  <c r="J8" s="1"/>
  <c r="F8"/>
  <c r="C8"/>
  <c r="D8" s="1"/>
  <c r="AX7"/>
  <c r="AQ7"/>
  <c r="AJ7"/>
  <c r="AG7"/>
  <c r="AH7" s="1"/>
  <c r="AD7"/>
  <c r="AA7"/>
  <c r="AB7" s="1"/>
  <c r="X7"/>
  <c r="Y7" s="1"/>
  <c r="U7"/>
  <c r="V7" s="1"/>
  <c r="AS7" s="1"/>
  <c r="R7"/>
  <c r="S7" s="1"/>
  <c r="O7"/>
  <c r="M7"/>
  <c r="L7"/>
  <c r="I7"/>
  <c r="J7" s="1"/>
  <c r="F7"/>
  <c r="G7" s="1"/>
  <c r="C7"/>
  <c r="D7" s="1"/>
  <c r="AX6"/>
  <c r="AQ6"/>
  <c r="AQ36" s="1"/>
  <c r="AJ6"/>
  <c r="AG6"/>
  <c r="AD6"/>
  <c r="AE6" s="1"/>
  <c r="AA6"/>
  <c r="X6"/>
  <c r="U6"/>
  <c r="V6" s="1"/>
  <c r="AS6" s="1"/>
  <c r="R6"/>
  <c r="S6" s="1"/>
  <c r="O6"/>
  <c r="L6"/>
  <c r="M6" s="1"/>
  <c r="I6"/>
  <c r="F6"/>
  <c r="C6"/>
  <c r="D6" s="1"/>
  <c r="AM6" s="1"/>
  <c r="AM36" s="1"/>
  <c r="AX5"/>
  <c r="AJ5"/>
  <c r="AG5"/>
  <c r="AD5"/>
  <c r="AE5" s="1"/>
  <c r="AA5"/>
  <c r="X5"/>
  <c r="Y5" s="1"/>
  <c r="U5"/>
  <c r="V5" s="1"/>
  <c r="R5"/>
  <c r="S5" s="1"/>
  <c r="O5"/>
  <c r="L5"/>
  <c r="M5" s="1"/>
  <c r="I5"/>
  <c r="F5"/>
  <c r="G5" s="1"/>
  <c r="C5"/>
  <c r="D5" s="1"/>
  <c r="B2"/>
  <c r="AI44" i="81"/>
  <c r="AT58"/>
  <c r="AS58"/>
  <c r="AR58"/>
  <c r="AQ58"/>
  <c r="AP58"/>
  <c r="AT57"/>
  <c r="AS57"/>
  <c r="AR57"/>
  <c r="AQ57"/>
  <c r="AP57"/>
  <c r="P48"/>
  <c r="M48"/>
  <c r="J48"/>
  <c r="G48"/>
  <c r="D48"/>
  <c r="P46"/>
  <c r="M46"/>
  <c r="J46"/>
  <c r="G46"/>
  <c r="D46"/>
  <c r="AV36"/>
  <c r="AO36"/>
  <c r="AK36"/>
  <c r="AX35"/>
  <c r="AW35"/>
  <c r="AP35"/>
  <c r="AN35"/>
  <c r="AJ35"/>
  <c r="AG35"/>
  <c r="AA35"/>
  <c r="AB35" s="1"/>
  <c r="U35"/>
  <c r="V35" s="1"/>
  <c r="O35"/>
  <c r="L35"/>
  <c r="J35"/>
  <c r="F35"/>
  <c r="AX34"/>
  <c r="AW34"/>
  <c r="AP34"/>
  <c r="AN34"/>
  <c r="AJ34"/>
  <c r="AG34"/>
  <c r="AD34"/>
  <c r="AE34" s="1"/>
  <c r="AA34"/>
  <c r="Y34"/>
  <c r="AT34" s="1"/>
  <c r="X34"/>
  <c r="V34"/>
  <c r="U34"/>
  <c r="O34"/>
  <c r="L34"/>
  <c r="I34"/>
  <c r="J34" s="1"/>
  <c r="F34"/>
  <c r="D34"/>
  <c r="C34"/>
  <c r="AX33"/>
  <c r="AW33"/>
  <c r="AP33"/>
  <c r="AN33"/>
  <c r="AJ33"/>
  <c r="AG33"/>
  <c r="AD33"/>
  <c r="AE33" s="1"/>
  <c r="AA33"/>
  <c r="X33"/>
  <c r="U33"/>
  <c r="V33" s="1"/>
  <c r="R33"/>
  <c r="S33" s="1"/>
  <c r="Q33"/>
  <c r="O33"/>
  <c r="L33"/>
  <c r="I33"/>
  <c r="F33"/>
  <c r="C33"/>
  <c r="D33" s="1"/>
  <c r="AX32"/>
  <c r="AW32"/>
  <c r="AP32"/>
  <c r="AN32"/>
  <c r="AJ32"/>
  <c r="AG32"/>
  <c r="AD32"/>
  <c r="AA32"/>
  <c r="X32"/>
  <c r="Y32" s="1"/>
  <c r="AT32" s="1"/>
  <c r="U32"/>
  <c r="V32" s="1"/>
  <c r="R32"/>
  <c r="O32"/>
  <c r="P32" s="1"/>
  <c r="L32"/>
  <c r="I32"/>
  <c r="F32"/>
  <c r="C32"/>
  <c r="D32" s="1"/>
  <c r="AX31"/>
  <c r="AW31"/>
  <c r="AP31"/>
  <c r="AN31"/>
  <c r="AJ31"/>
  <c r="AG31"/>
  <c r="AD31"/>
  <c r="AA31"/>
  <c r="X31"/>
  <c r="Y31" s="1"/>
  <c r="AT31" s="1"/>
  <c r="U31"/>
  <c r="R31"/>
  <c r="P31"/>
  <c r="O31"/>
  <c r="L31"/>
  <c r="I31"/>
  <c r="F31"/>
  <c r="C31"/>
  <c r="AX30"/>
  <c r="AW30"/>
  <c r="AP30"/>
  <c r="AN30"/>
  <c r="AJ30"/>
  <c r="AG30"/>
  <c r="AD30"/>
  <c r="AA30"/>
  <c r="AB30" s="1"/>
  <c r="Y30"/>
  <c r="AT30" s="1"/>
  <c r="X30"/>
  <c r="U30"/>
  <c r="R30"/>
  <c r="O30"/>
  <c r="P30" s="1"/>
  <c r="L30"/>
  <c r="I30"/>
  <c r="F30"/>
  <c r="C30"/>
  <c r="AX29"/>
  <c r="AW29"/>
  <c r="AN29"/>
  <c r="AJ29"/>
  <c r="AG29"/>
  <c r="AD29"/>
  <c r="AA29"/>
  <c r="X29"/>
  <c r="U29"/>
  <c r="R29"/>
  <c r="O29"/>
  <c r="P29" s="1"/>
  <c r="L29"/>
  <c r="I29"/>
  <c r="J29" s="1"/>
  <c r="F29"/>
  <c r="C29"/>
  <c r="AX28"/>
  <c r="AW28"/>
  <c r="AR28"/>
  <c r="AP28"/>
  <c r="AN28"/>
  <c r="AJ28"/>
  <c r="AG28"/>
  <c r="AD28"/>
  <c r="AA28"/>
  <c r="AB28" s="1"/>
  <c r="X28"/>
  <c r="V28"/>
  <c r="U28"/>
  <c r="R28"/>
  <c r="O28"/>
  <c r="P28" s="1"/>
  <c r="L28"/>
  <c r="I28"/>
  <c r="J28" s="1"/>
  <c r="F28"/>
  <c r="C28"/>
  <c r="AX27"/>
  <c r="AW27"/>
  <c r="AP27"/>
  <c r="AP36" s="1"/>
  <c r="AN27"/>
  <c r="AJ27"/>
  <c r="AG27"/>
  <c r="AD27"/>
  <c r="AE27" s="1"/>
  <c r="AA27"/>
  <c r="X27"/>
  <c r="U27"/>
  <c r="V27" s="1"/>
  <c r="R27"/>
  <c r="O27"/>
  <c r="L27"/>
  <c r="I27"/>
  <c r="J27" s="1"/>
  <c r="F27"/>
  <c r="C27"/>
  <c r="D27" s="1"/>
  <c r="AX26"/>
  <c r="AW26"/>
  <c r="AT26"/>
  <c r="AN26"/>
  <c r="AJ26"/>
  <c r="AG26"/>
  <c r="AD26"/>
  <c r="AE26" s="1"/>
  <c r="AA26"/>
  <c r="X26"/>
  <c r="U26"/>
  <c r="V26" s="1"/>
  <c r="R26"/>
  <c r="O26"/>
  <c r="L26"/>
  <c r="I26"/>
  <c r="F26"/>
  <c r="C26"/>
  <c r="D26" s="1"/>
  <c r="AX25"/>
  <c r="AW25"/>
  <c r="AN25"/>
  <c r="AJ25"/>
  <c r="AG25"/>
  <c r="AD25"/>
  <c r="AE25" s="1"/>
  <c r="AA25"/>
  <c r="AB25" s="1"/>
  <c r="X25"/>
  <c r="U25"/>
  <c r="R25"/>
  <c r="O25"/>
  <c r="L25"/>
  <c r="M25" s="1"/>
  <c r="I25"/>
  <c r="F25"/>
  <c r="C25"/>
  <c r="D25" s="1"/>
  <c r="AX24"/>
  <c r="AW24"/>
  <c r="AJ24"/>
  <c r="AG24"/>
  <c r="AD24"/>
  <c r="AE24" s="1"/>
  <c r="AA24"/>
  <c r="AB24" s="1"/>
  <c r="X24"/>
  <c r="U24"/>
  <c r="R24"/>
  <c r="O24"/>
  <c r="P24" s="1"/>
  <c r="L24"/>
  <c r="I24"/>
  <c r="F24"/>
  <c r="C24"/>
  <c r="AX23"/>
  <c r="AW23"/>
  <c r="AJ23"/>
  <c r="AG23"/>
  <c r="AD23"/>
  <c r="AA23"/>
  <c r="AB23" s="1"/>
  <c r="X23"/>
  <c r="U23"/>
  <c r="R23"/>
  <c r="O23"/>
  <c r="P23" s="1"/>
  <c r="L23"/>
  <c r="I23"/>
  <c r="F23"/>
  <c r="C23"/>
  <c r="AX22"/>
  <c r="AW22"/>
  <c r="AJ22"/>
  <c r="AG22"/>
  <c r="AD22"/>
  <c r="AB22"/>
  <c r="AA22"/>
  <c r="X22"/>
  <c r="U22"/>
  <c r="V22" s="1"/>
  <c r="R22"/>
  <c r="O22"/>
  <c r="P22" s="1"/>
  <c r="L22"/>
  <c r="I22"/>
  <c r="J22" s="1"/>
  <c r="F22"/>
  <c r="C22"/>
  <c r="AX21"/>
  <c r="AW21"/>
  <c r="AJ21"/>
  <c r="AG21"/>
  <c r="AD21"/>
  <c r="AA21"/>
  <c r="AB21" s="1"/>
  <c r="X21"/>
  <c r="U21"/>
  <c r="V21" s="1"/>
  <c r="R21"/>
  <c r="O21"/>
  <c r="L21"/>
  <c r="I21"/>
  <c r="J21" s="1"/>
  <c r="F21"/>
  <c r="C21"/>
  <c r="AX20"/>
  <c r="AW20"/>
  <c r="AJ20"/>
  <c r="AG20"/>
  <c r="AD20"/>
  <c r="AE20" s="1"/>
  <c r="AA20"/>
  <c r="X20"/>
  <c r="V20"/>
  <c r="U20"/>
  <c r="R20"/>
  <c r="O20"/>
  <c r="M20"/>
  <c r="L20"/>
  <c r="I20"/>
  <c r="J20" s="1"/>
  <c r="F20"/>
  <c r="C20"/>
  <c r="D20" s="1"/>
  <c r="AW19"/>
  <c r="AJ19"/>
  <c r="AG19"/>
  <c r="AE19"/>
  <c r="AD19"/>
  <c r="AA19"/>
  <c r="X19"/>
  <c r="V19"/>
  <c r="U19"/>
  <c r="R19"/>
  <c r="O19"/>
  <c r="M19"/>
  <c r="L19"/>
  <c r="I19"/>
  <c r="F19"/>
  <c r="G19" s="1"/>
  <c r="C19"/>
  <c r="D19" s="1"/>
  <c r="AX18"/>
  <c r="AJ18"/>
  <c r="AG18"/>
  <c r="AE18"/>
  <c r="AD18"/>
  <c r="AA18"/>
  <c r="AB18" s="1"/>
  <c r="X18"/>
  <c r="U18"/>
  <c r="R18"/>
  <c r="O18"/>
  <c r="L18"/>
  <c r="M18" s="1"/>
  <c r="I18"/>
  <c r="F18"/>
  <c r="G18" s="1"/>
  <c r="D18"/>
  <c r="C18"/>
  <c r="AX17"/>
  <c r="AW17"/>
  <c r="AJ17"/>
  <c r="AG17"/>
  <c r="AD17"/>
  <c r="AA17"/>
  <c r="X17"/>
  <c r="U17"/>
  <c r="R17"/>
  <c r="O17"/>
  <c r="P17" s="1"/>
  <c r="L17"/>
  <c r="I17"/>
  <c r="G17"/>
  <c r="F17"/>
  <c r="C17"/>
  <c r="AX16"/>
  <c r="AW16"/>
  <c r="AJ16"/>
  <c r="AG16"/>
  <c r="AD16"/>
  <c r="AA16"/>
  <c r="AB16" s="1"/>
  <c r="X16"/>
  <c r="U16"/>
  <c r="R16"/>
  <c r="P16"/>
  <c r="O16"/>
  <c r="L16"/>
  <c r="I16"/>
  <c r="J16" s="1"/>
  <c r="F16"/>
  <c r="G16" s="1"/>
  <c r="C16"/>
  <c r="AX15"/>
  <c r="AW15"/>
  <c r="AJ15"/>
  <c r="AG15"/>
  <c r="AD15"/>
  <c r="AA15"/>
  <c r="AB15" s="1"/>
  <c r="X15"/>
  <c r="U15"/>
  <c r="R15"/>
  <c r="O15"/>
  <c r="P15" s="1"/>
  <c r="L15"/>
  <c r="M15" s="1"/>
  <c r="I15"/>
  <c r="F15"/>
  <c r="C15"/>
  <c r="AX14"/>
  <c r="AW14"/>
  <c r="AJ14"/>
  <c r="AG14"/>
  <c r="AD14"/>
  <c r="AA14"/>
  <c r="AB14" s="1"/>
  <c r="X14"/>
  <c r="U14"/>
  <c r="V14" s="1"/>
  <c r="R14"/>
  <c r="S14" s="1"/>
  <c r="O14"/>
  <c r="P14" s="1"/>
  <c r="L14"/>
  <c r="J14"/>
  <c r="I14"/>
  <c r="F14"/>
  <c r="C14"/>
  <c r="AX13"/>
  <c r="AW13"/>
  <c r="AJ13"/>
  <c r="AG13"/>
  <c r="AE13"/>
  <c r="AD13"/>
  <c r="AA13"/>
  <c r="X13"/>
  <c r="U13"/>
  <c r="V13" s="1"/>
  <c r="R13"/>
  <c r="S13" s="1"/>
  <c r="O13"/>
  <c r="L13"/>
  <c r="M13" s="1"/>
  <c r="I13"/>
  <c r="J13" s="1"/>
  <c r="F13"/>
  <c r="C13"/>
  <c r="D13" s="1"/>
  <c r="AX12"/>
  <c r="AW12"/>
  <c r="AJ12"/>
  <c r="AG12"/>
  <c r="AD12"/>
  <c r="AE12" s="1"/>
  <c r="AA12"/>
  <c r="X12"/>
  <c r="U12"/>
  <c r="V12" s="1"/>
  <c r="R12"/>
  <c r="S12" s="1"/>
  <c r="O12"/>
  <c r="L12"/>
  <c r="M12" s="1"/>
  <c r="I12"/>
  <c r="F12"/>
  <c r="C12"/>
  <c r="D12" s="1"/>
  <c r="AX11"/>
  <c r="AJ11"/>
  <c r="AG11"/>
  <c r="AH11" s="1"/>
  <c r="AW11" s="1"/>
  <c r="AD11"/>
  <c r="AE11" s="1"/>
  <c r="AA11"/>
  <c r="Y11"/>
  <c r="X11"/>
  <c r="U11"/>
  <c r="V11" s="1"/>
  <c r="AS11" s="1"/>
  <c r="R11"/>
  <c r="O11"/>
  <c r="P11" s="1"/>
  <c r="L11"/>
  <c r="M11" s="1"/>
  <c r="I11"/>
  <c r="F11"/>
  <c r="G11" s="1"/>
  <c r="C11"/>
  <c r="D11" s="1"/>
  <c r="AX10"/>
  <c r="AJ10"/>
  <c r="AG10"/>
  <c r="AH10" s="1"/>
  <c r="AD10"/>
  <c r="AB10"/>
  <c r="AA10"/>
  <c r="Y10"/>
  <c r="X10"/>
  <c r="U10"/>
  <c r="R10"/>
  <c r="P10"/>
  <c r="O10"/>
  <c r="L10"/>
  <c r="I10"/>
  <c r="G10"/>
  <c r="F10"/>
  <c r="D10"/>
  <c r="C10"/>
  <c r="AX9"/>
  <c r="AJ9"/>
  <c r="AG9"/>
  <c r="AD9"/>
  <c r="AB9"/>
  <c r="AA9"/>
  <c r="Y9"/>
  <c r="X9"/>
  <c r="U9"/>
  <c r="R9"/>
  <c r="P9"/>
  <c r="O9"/>
  <c r="L9"/>
  <c r="I9"/>
  <c r="G9"/>
  <c r="F9"/>
  <c r="C9"/>
  <c r="AX8"/>
  <c r="AJ8"/>
  <c r="AG8"/>
  <c r="AD8"/>
  <c r="AE8" s="1"/>
  <c r="AA8"/>
  <c r="AB8" s="1"/>
  <c r="X8"/>
  <c r="Y8" s="1"/>
  <c r="U8"/>
  <c r="V8" s="1"/>
  <c r="AS8" s="1"/>
  <c r="R8"/>
  <c r="O8"/>
  <c r="L8"/>
  <c r="M8" s="1"/>
  <c r="I8"/>
  <c r="J8" s="1"/>
  <c r="F8"/>
  <c r="C8"/>
  <c r="D8" s="1"/>
  <c r="AX7"/>
  <c r="AQ7"/>
  <c r="AJ7"/>
  <c r="AG7"/>
  <c r="AD7"/>
  <c r="AB7"/>
  <c r="AA7"/>
  <c r="X7"/>
  <c r="U7"/>
  <c r="V7" s="1"/>
  <c r="AS7" s="1"/>
  <c r="R7"/>
  <c r="S7" s="1"/>
  <c r="O7"/>
  <c r="L7"/>
  <c r="I7"/>
  <c r="J7" s="1"/>
  <c r="F7"/>
  <c r="C7"/>
  <c r="AX6"/>
  <c r="AQ6"/>
  <c r="AQ36" s="1"/>
  <c r="AJ6"/>
  <c r="AG6"/>
  <c r="AH6" s="1"/>
  <c r="AD6"/>
  <c r="AE6" s="1"/>
  <c r="AA6"/>
  <c r="X6"/>
  <c r="Y6" s="1"/>
  <c r="U6"/>
  <c r="V6" s="1"/>
  <c r="AS6" s="1"/>
  <c r="R6"/>
  <c r="S6" s="1"/>
  <c r="O6"/>
  <c r="L6"/>
  <c r="M6" s="1"/>
  <c r="I6"/>
  <c r="F6"/>
  <c r="G6" s="1"/>
  <c r="C6"/>
  <c r="D6" s="1"/>
  <c r="AM6" s="1"/>
  <c r="AM36" s="1"/>
  <c r="AX5"/>
  <c r="AJ5"/>
  <c r="AG5"/>
  <c r="AH5" s="1"/>
  <c r="AD5"/>
  <c r="AE5" s="1"/>
  <c r="AA5"/>
  <c r="X5"/>
  <c r="U5"/>
  <c r="V5" s="1"/>
  <c r="R5"/>
  <c r="S5" s="1"/>
  <c r="O5"/>
  <c r="L5"/>
  <c r="M5" s="1"/>
  <c r="I5"/>
  <c r="F5"/>
  <c r="C5"/>
  <c r="D5" s="1"/>
  <c r="B2"/>
  <c r="M46" i="68"/>
  <c r="AK36"/>
  <c r="AT58"/>
  <c r="AS58"/>
  <c r="AR58"/>
  <c r="AQ58"/>
  <c r="AP58"/>
  <c r="AT57"/>
  <c r="AS57"/>
  <c r="AR57"/>
  <c r="AQ57"/>
  <c r="AP57"/>
  <c r="P48"/>
  <c r="M48"/>
  <c r="J48"/>
  <c r="G48"/>
  <c r="D48"/>
  <c r="P46"/>
  <c r="J46"/>
  <c r="G46"/>
  <c r="D46"/>
  <c r="AV36"/>
  <c r="AO36"/>
  <c r="AX35"/>
  <c r="AW35"/>
  <c r="AP35"/>
  <c r="AN35"/>
  <c r="J35"/>
  <c r="AX34"/>
  <c r="AW34"/>
  <c r="AP34"/>
  <c r="AN34"/>
  <c r="AX33"/>
  <c r="AW33"/>
  <c r="AP33"/>
  <c r="AN33"/>
  <c r="AX32"/>
  <c r="AW32"/>
  <c r="AP32"/>
  <c r="AN32"/>
  <c r="AW31"/>
  <c r="AP31"/>
  <c r="AN31"/>
  <c r="AX31"/>
  <c r="AW30"/>
  <c r="AP30"/>
  <c r="AN30"/>
  <c r="AX29"/>
  <c r="AW29"/>
  <c r="AN29"/>
  <c r="AX28"/>
  <c r="AW28"/>
  <c r="AR28"/>
  <c r="AP28"/>
  <c r="AN28"/>
  <c r="AX27"/>
  <c r="AW27"/>
  <c r="AP27"/>
  <c r="AP36" s="1"/>
  <c r="AN27"/>
  <c r="AX26"/>
  <c r="AW26"/>
  <c r="AN26"/>
  <c r="AX25"/>
  <c r="AW25"/>
  <c r="AN25"/>
  <c r="AX24"/>
  <c r="AW24"/>
  <c r="AX23"/>
  <c r="AW23"/>
  <c r="AX22"/>
  <c r="AW22"/>
  <c r="AX21"/>
  <c r="AW21"/>
  <c r="AX20"/>
  <c r="AW20"/>
  <c r="AW19"/>
  <c r="AX18"/>
  <c r="AX17"/>
  <c r="AW17"/>
  <c r="AX16"/>
  <c r="AW16"/>
  <c r="AX15"/>
  <c r="AW15"/>
  <c r="AX14"/>
  <c r="AW14"/>
  <c r="AX13"/>
  <c r="AX12"/>
  <c r="AX11"/>
  <c r="AX10"/>
  <c r="AX9"/>
  <c r="AX8"/>
  <c r="AX7"/>
  <c r="AX6"/>
  <c r="AQ6"/>
  <c r="AQ36" s="1"/>
  <c r="AX5"/>
  <c r="C2" i="7"/>
  <c r="B2" i="68"/>
  <c r="B5" i="7"/>
  <c r="C5" i="68"/>
  <c r="D5" s="1"/>
  <c r="C5" i="7"/>
  <c r="F5" i="68"/>
  <c r="D5" i="7"/>
  <c r="I5" i="68"/>
  <c r="E5" i="7"/>
  <c r="L5" i="68"/>
  <c r="M5" s="1"/>
  <c r="F5" i="7"/>
  <c r="O5" i="68"/>
  <c r="G5" i="7"/>
  <c r="R5" i="68"/>
  <c r="S5" s="1"/>
  <c r="H5" i="7"/>
  <c r="I5"/>
  <c r="J5"/>
  <c r="K5"/>
  <c r="L5"/>
  <c r="M5"/>
  <c r="B6"/>
  <c r="C6" i="68"/>
  <c r="D6" s="1"/>
  <c r="AM6" s="1"/>
  <c r="AM36" s="1"/>
  <c r="C6" i="7"/>
  <c r="D6"/>
  <c r="I6" i="68"/>
  <c r="E6" i="7"/>
  <c r="F6"/>
  <c r="G6"/>
  <c r="H6"/>
  <c r="U6" i="68"/>
  <c r="V6" s="1"/>
  <c r="AS6" s="1"/>
  <c r="I6" i="7"/>
  <c r="X6" i="68"/>
  <c r="Y6"/>
  <c r="J6" i="7"/>
  <c r="K6"/>
  <c r="AD6" i="68"/>
  <c r="AE6"/>
  <c r="L6" i="7"/>
  <c r="M6"/>
  <c r="B7"/>
  <c r="C7"/>
  <c r="D7"/>
  <c r="E7"/>
  <c r="L7" i="68"/>
  <c r="M7"/>
  <c r="F7" i="7"/>
  <c r="G7"/>
  <c r="H7"/>
  <c r="I7"/>
  <c r="X7" i="68"/>
  <c r="Y7" s="1"/>
  <c r="J7" i="7"/>
  <c r="K7"/>
  <c r="AD7" i="68"/>
  <c r="AE7" s="1"/>
  <c r="L7" i="7"/>
  <c r="M7"/>
  <c r="AJ7" i="68"/>
  <c r="B8" i="7"/>
  <c r="C8"/>
  <c r="F8" i="68"/>
  <c r="D8" i="7"/>
  <c r="E8"/>
  <c r="L8" i="68"/>
  <c r="F8" i="7"/>
  <c r="G8"/>
  <c r="R8" i="68"/>
  <c r="S8" s="1"/>
  <c r="H8" i="7"/>
  <c r="I8"/>
  <c r="J8"/>
  <c r="K8"/>
  <c r="AD8" i="68"/>
  <c r="L8" i="7"/>
  <c r="M8"/>
  <c r="AJ8" i="68"/>
  <c r="B9" i="7"/>
  <c r="C9"/>
  <c r="D9"/>
  <c r="E9"/>
  <c r="F9"/>
  <c r="G9"/>
  <c r="H9"/>
  <c r="I9"/>
  <c r="X9" i="68"/>
  <c r="J9" i="7"/>
  <c r="K9"/>
  <c r="L9"/>
  <c r="M9"/>
  <c r="B10"/>
  <c r="C10"/>
  <c r="D10"/>
  <c r="E10"/>
  <c r="F10"/>
  <c r="G10"/>
  <c r="H10"/>
  <c r="I10"/>
  <c r="X10" i="68"/>
  <c r="Y10" s="1"/>
  <c r="J10" i="7"/>
  <c r="K10"/>
  <c r="AD10" i="68"/>
  <c r="L10" i="7"/>
  <c r="M10"/>
  <c r="B11"/>
  <c r="C11"/>
  <c r="D11"/>
  <c r="E11"/>
  <c r="F11"/>
  <c r="G11"/>
  <c r="H11"/>
  <c r="I11"/>
  <c r="X11" i="68"/>
  <c r="Y11" s="1"/>
  <c r="J11" i="7"/>
  <c r="K11"/>
  <c r="AD11" i="68"/>
  <c r="L11" i="7"/>
  <c r="M11"/>
  <c r="AJ11" i="68"/>
  <c r="B12" i="7"/>
  <c r="C12"/>
  <c r="D12"/>
  <c r="E12"/>
  <c r="F12"/>
  <c r="G12"/>
  <c r="H12"/>
  <c r="I12"/>
  <c r="X12" i="68"/>
  <c r="J12" i="7"/>
  <c r="K12"/>
  <c r="L12"/>
  <c r="M12"/>
  <c r="B13"/>
  <c r="C13"/>
  <c r="D13"/>
  <c r="E13"/>
  <c r="F13"/>
  <c r="G13"/>
  <c r="H13"/>
  <c r="I13"/>
  <c r="J13"/>
  <c r="K13"/>
  <c r="AD13" i="68"/>
  <c r="AE13" s="1"/>
  <c r="L13" i="7"/>
  <c r="M13"/>
  <c r="B14"/>
  <c r="C14"/>
  <c r="F14" i="68"/>
  <c r="G14" s="1"/>
  <c r="D14" i="7"/>
  <c r="E14"/>
  <c r="F14"/>
  <c r="G14"/>
  <c r="H14"/>
  <c r="I14"/>
  <c r="X14" i="68"/>
  <c r="J14" i="7"/>
  <c r="K14"/>
  <c r="L14"/>
  <c r="M14"/>
  <c r="AJ14" i="68"/>
  <c r="B15" i="7"/>
  <c r="C15"/>
  <c r="D15"/>
  <c r="E15"/>
  <c r="F15"/>
  <c r="G15"/>
  <c r="R15" i="68"/>
  <c r="H15" i="7"/>
  <c r="I15"/>
  <c r="J15"/>
  <c r="K15"/>
  <c r="L15"/>
  <c r="M15"/>
  <c r="B16"/>
  <c r="C16"/>
  <c r="D16"/>
  <c r="E16"/>
  <c r="F16"/>
  <c r="G16"/>
  <c r="R16" i="68"/>
  <c r="H16" i="7"/>
  <c r="I16"/>
  <c r="J16"/>
  <c r="K16"/>
  <c r="L16"/>
  <c r="M16"/>
  <c r="B17"/>
  <c r="C17"/>
  <c r="D17"/>
  <c r="E17"/>
  <c r="F17"/>
  <c r="G17"/>
  <c r="R17" i="68"/>
  <c r="H17" i="7"/>
  <c r="I17"/>
  <c r="J17"/>
  <c r="K17"/>
  <c r="L17"/>
  <c r="M17"/>
  <c r="B18"/>
  <c r="C18"/>
  <c r="D18"/>
  <c r="E18"/>
  <c r="F18"/>
  <c r="G18"/>
  <c r="R18" i="68"/>
  <c r="H18" i="7"/>
  <c r="I18"/>
  <c r="J18"/>
  <c r="K18"/>
  <c r="L18"/>
  <c r="M18"/>
  <c r="AJ18" i="68"/>
  <c r="B19" i="7"/>
  <c r="C19"/>
  <c r="D19"/>
  <c r="E19"/>
  <c r="F19"/>
  <c r="G19"/>
  <c r="R19" i="68"/>
  <c r="H19" i="7"/>
  <c r="I19"/>
  <c r="J19"/>
  <c r="K19"/>
  <c r="AD19" i="68"/>
  <c r="AE19" s="1"/>
  <c r="L19" i="7"/>
  <c r="M19"/>
  <c r="AJ19" i="68"/>
  <c r="B20" i="7"/>
  <c r="C20"/>
  <c r="F20" i="68"/>
  <c r="D20" i="7"/>
  <c r="E20"/>
  <c r="L20" i="68"/>
  <c r="M20" s="1"/>
  <c r="F20" i="7"/>
  <c r="G20"/>
  <c r="R20" i="68"/>
  <c r="H20" i="7"/>
  <c r="I20"/>
  <c r="X20" i="68"/>
  <c r="J20" i="7"/>
  <c r="K20"/>
  <c r="AD20" i="68"/>
  <c r="AE20" s="1"/>
  <c r="L20" i="7"/>
  <c r="M20"/>
  <c r="AJ20" i="68"/>
  <c r="B21" i="7"/>
  <c r="C21"/>
  <c r="F21" i="68"/>
  <c r="G21" s="1"/>
  <c r="D21" i="7"/>
  <c r="E21"/>
  <c r="L21" i="68"/>
  <c r="F21" i="7"/>
  <c r="G21"/>
  <c r="H21"/>
  <c r="I21"/>
  <c r="X21" i="68"/>
  <c r="J21" i="7"/>
  <c r="K21"/>
  <c r="AD21" i="68"/>
  <c r="L21" i="7"/>
  <c r="M21"/>
  <c r="AJ21" i="68"/>
  <c r="B22" i="7"/>
  <c r="C22"/>
  <c r="F22" i="68"/>
  <c r="D22" i="7"/>
  <c r="E22"/>
  <c r="L22" i="68"/>
  <c r="F22" i="7"/>
  <c r="G22"/>
  <c r="H22"/>
  <c r="I22"/>
  <c r="X22" i="68"/>
  <c r="J22" i="7"/>
  <c r="K22"/>
  <c r="AD22" i="68"/>
  <c r="L22" i="7"/>
  <c r="M22"/>
  <c r="AJ22" i="68"/>
  <c r="B23" i="7"/>
  <c r="C23"/>
  <c r="F23" i="68"/>
  <c r="D23" i="7"/>
  <c r="E23"/>
  <c r="F23"/>
  <c r="G23"/>
  <c r="R23" i="68"/>
  <c r="H23" i="7"/>
  <c r="I23"/>
  <c r="J23"/>
  <c r="K23"/>
  <c r="AD23" i="68"/>
  <c r="AE23" s="1"/>
  <c r="L23" i="7"/>
  <c r="M23"/>
  <c r="B24"/>
  <c r="C24"/>
  <c r="F24" i="68"/>
  <c r="D24" i="7"/>
  <c r="E24"/>
  <c r="F24"/>
  <c r="G24"/>
  <c r="R24" i="68"/>
  <c r="H24" i="7"/>
  <c r="I24"/>
  <c r="J24"/>
  <c r="K24"/>
  <c r="AD24" i="68"/>
  <c r="L24" i="7"/>
  <c r="M24"/>
  <c r="B25"/>
  <c r="C25"/>
  <c r="F25" i="68"/>
  <c r="D25" i="7"/>
  <c r="E25"/>
  <c r="F25"/>
  <c r="G25"/>
  <c r="R25" i="68"/>
  <c r="H25" i="7"/>
  <c r="I25"/>
  <c r="J25"/>
  <c r="K25"/>
  <c r="AD25" i="68"/>
  <c r="L25" i="7"/>
  <c r="M25"/>
  <c r="B26"/>
  <c r="C26"/>
  <c r="F26" i="68"/>
  <c r="D26" i="7"/>
  <c r="E26"/>
  <c r="F26"/>
  <c r="G26"/>
  <c r="R26" i="68"/>
  <c r="H26" i="7"/>
  <c r="I26"/>
  <c r="J26"/>
  <c r="K26"/>
  <c r="AD26" i="68"/>
  <c r="AE26" s="1"/>
  <c r="L26" i="7"/>
  <c r="M26"/>
  <c r="B27"/>
  <c r="C27"/>
  <c r="D27"/>
  <c r="E27"/>
  <c r="L27" i="68"/>
  <c r="F27" i="7"/>
  <c r="G27"/>
  <c r="H27"/>
  <c r="I27"/>
  <c r="X27" i="68"/>
  <c r="J27" i="7"/>
  <c r="K27"/>
  <c r="AD27" i="68"/>
  <c r="AE27" s="1"/>
  <c r="L27" i="7"/>
  <c r="M27"/>
  <c r="AJ27" i="68"/>
  <c r="B28" i="7"/>
  <c r="C28"/>
  <c r="F28" i="68"/>
  <c r="D28" i="7"/>
  <c r="E28"/>
  <c r="F28"/>
  <c r="G28"/>
  <c r="R28" i="68"/>
  <c r="H28" i="7"/>
  <c r="I28"/>
  <c r="J28"/>
  <c r="K28"/>
  <c r="L28"/>
  <c r="M28"/>
  <c r="B29"/>
  <c r="C29"/>
  <c r="D29"/>
  <c r="E29"/>
  <c r="F29"/>
  <c r="G29"/>
  <c r="H29"/>
  <c r="I29"/>
  <c r="J29"/>
  <c r="K29"/>
  <c r="L29"/>
  <c r="M29"/>
  <c r="B30"/>
  <c r="C30"/>
  <c r="D30"/>
  <c r="E30"/>
  <c r="F30"/>
  <c r="G30"/>
  <c r="H30"/>
  <c r="I30"/>
  <c r="J30"/>
  <c r="K30"/>
  <c r="L30"/>
  <c r="M30"/>
  <c r="B31"/>
  <c r="C31"/>
  <c r="D31"/>
  <c r="E31"/>
  <c r="F31"/>
  <c r="G31"/>
  <c r="H31"/>
  <c r="I31"/>
  <c r="J31"/>
  <c r="K31"/>
  <c r="L31"/>
  <c r="M31"/>
  <c r="B32"/>
  <c r="C32"/>
  <c r="D32"/>
  <c r="E32"/>
  <c r="F32"/>
  <c r="G32"/>
  <c r="H32"/>
  <c r="I32"/>
  <c r="J32"/>
  <c r="K32"/>
  <c r="L32"/>
  <c r="M32"/>
  <c r="B33"/>
  <c r="C33"/>
  <c r="D33"/>
  <c r="E33"/>
  <c r="F33"/>
  <c r="G33"/>
  <c r="H33"/>
  <c r="I33"/>
  <c r="J33"/>
  <c r="K33"/>
  <c r="L33"/>
  <c r="M33"/>
  <c r="B34"/>
  <c r="C34"/>
  <c r="D34"/>
  <c r="E34"/>
  <c r="F34"/>
  <c r="H34"/>
  <c r="I34"/>
  <c r="J34"/>
  <c r="K34"/>
  <c r="L34"/>
  <c r="M34"/>
  <c r="C35"/>
  <c r="E35"/>
  <c r="F35"/>
  <c r="H35"/>
  <c r="J35"/>
  <c r="L35"/>
  <c r="M35"/>
  <c r="AX30" i="68"/>
  <c r="L35"/>
  <c r="AD34"/>
  <c r="AE34" s="1"/>
  <c r="O34"/>
  <c r="P34" s="1"/>
  <c r="C34"/>
  <c r="D34" s="1"/>
  <c r="U33"/>
  <c r="I33"/>
  <c r="C33"/>
  <c r="D33" s="1"/>
  <c r="AA32"/>
  <c r="U32"/>
  <c r="O32"/>
  <c r="C32"/>
  <c r="AG31"/>
  <c r="AA31"/>
  <c r="U35"/>
  <c r="V35" s="1"/>
  <c r="AJ34"/>
  <c r="X34"/>
  <c r="I34"/>
  <c r="AG33"/>
  <c r="AA33"/>
  <c r="AB33" s="1"/>
  <c r="O33"/>
  <c r="AG32"/>
  <c r="I32"/>
  <c r="J32" s="1"/>
  <c r="U5"/>
  <c r="O6"/>
  <c r="AA6"/>
  <c r="AB6" s="1"/>
  <c r="X5"/>
  <c r="Y5" s="1"/>
  <c r="AA5"/>
  <c r="AD5"/>
  <c r="AE5" s="1"/>
  <c r="AJ5"/>
  <c r="F6"/>
  <c r="L6"/>
  <c r="M6" s="1"/>
  <c r="R6"/>
  <c r="S6" s="1"/>
  <c r="C7"/>
  <c r="F7"/>
  <c r="G7" s="1"/>
  <c r="I7"/>
  <c r="J7" s="1"/>
  <c r="R7"/>
  <c r="S7" s="1"/>
  <c r="U7"/>
  <c r="V7" s="1"/>
  <c r="AS7" s="1"/>
  <c r="X8"/>
  <c r="Y8" s="1"/>
  <c r="AA8"/>
  <c r="AB8" s="1"/>
  <c r="C9"/>
  <c r="D9"/>
  <c r="F9"/>
  <c r="I9"/>
  <c r="J9" s="1"/>
  <c r="L9"/>
  <c r="M9" s="1"/>
  <c r="O9"/>
  <c r="P9" s="1"/>
  <c r="R9"/>
  <c r="AD9"/>
  <c r="AE9" s="1"/>
  <c r="AJ9"/>
  <c r="C10"/>
  <c r="F10"/>
  <c r="G10"/>
  <c r="I10"/>
  <c r="L10"/>
  <c r="O10"/>
  <c r="P10" s="1"/>
  <c r="R10"/>
  <c r="S10" s="1"/>
  <c r="U10"/>
  <c r="V10" s="1"/>
  <c r="AS10" s="1"/>
  <c r="AJ10"/>
  <c r="C11"/>
  <c r="F11"/>
  <c r="G11" s="1"/>
  <c r="I11"/>
  <c r="J11" s="1"/>
  <c r="L11"/>
  <c r="O11"/>
  <c r="P11" s="1"/>
  <c r="R11"/>
  <c r="U11"/>
  <c r="AG11"/>
  <c r="AH11" s="1"/>
  <c r="AW11" s="1"/>
  <c r="C12"/>
  <c r="D12"/>
  <c r="F12"/>
  <c r="G12" s="1"/>
  <c r="I12"/>
  <c r="J12" s="1"/>
  <c r="L12"/>
  <c r="M12" s="1"/>
  <c r="O12"/>
  <c r="R12"/>
  <c r="U12"/>
  <c r="AA12"/>
  <c r="AD12"/>
  <c r="AE12" s="1"/>
  <c r="AJ12"/>
  <c r="C13"/>
  <c r="D13" s="1"/>
  <c r="F13"/>
  <c r="I13"/>
  <c r="L13"/>
  <c r="M13"/>
  <c r="O13"/>
  <c r="P13" s="1"/>
  <c r="R13"/>
  <c r="S13" s="1"/>
  <c r="U13"/>
  <c r="V13" s="1"/>
  <c r="X13"/>
  <c r="AA13"/>
  <c r="AJ13"/>
  <c r="I14"/>
  <c r="J14"/>
  <c r="L14"/>
  <c r="M14" s="1"/>
  <c r="O14"/>
  <c r="R14"/>
  <c r="S14" s="1"/>
  <c r="U14"/>
  <c r="V14" s="1"/>
  <c r="AA14"/>
  <c r="AD14"/>
  <c r="AG14"/>
  <c r="C15"/>
  <c r="F15"/>
  <c r="I15"/>
  <c r="L15"/>
  <c r="O15"/>
  <c r="U15"/>
  <c r="V15" s="1"/>
  <c r="X15"/>
  <c r="AA15"/>
  <c r="AB15" s="1"/>
  <c r="AD15"/>
  <c r="AJ15"/>
  <c r="C16"/>
  <c r="D16" s="1"/>
  <c r="F16"/>
  <c r="I16"/>
  <c r="L16"/>
  <c r="M16" s="1"/>
  <c r="O16"/>
  <c r="P16" s="1"/>
  <c r="U16"/>
  <c r="X16"/>
  <c r="AA16"/>
  <c r="AB16" s="1"/>
  <c r="AD16"/>
  <c r="AE16" s="1"/>
  <c r="AJ16"/>
  <c r="C17"/>
  <c r="F17"/>
  <c r="G17"/>
  <c r="I17"/>
  <c r="J17" s="1"/>
  <c r="L17"/>
  <c r="O17"/>
  <c r="P17" s="1"/>
  <c r="U17"/>
  <c r="V17" s="1"/>
  <c r="X17"/>
  <c r="AA17"/>
  <c r="AD17"/>
  <c r="AJ17"/>
  <c r="C18"/>
  <c r="F18"/>
  <c r="G18" s="1"/>
  <c r="I18"/>
  <c r="J18" s="1"/>
  <c r="L18"/>
  <c r="O18"/>
  <c r="P18" s="1"/>
  <c r="U18"/>
  <c r="X18"/>
  <c r="AD18"/>
  <c r="AG18"/>
  <c r="C19"/>
  <c r="D19" s="1"/>
  <c r="F19"/>
  <c r="G19" s="1"/>
  <c r="I19"/>
  <c r="J19" s="1"/>
  <c r="L19"/>
  <c r="M19"/>
  <c r="O19"/>
  <c r="U19"/>
  <c r="X19"/>
  <c r="AG19"/>
  <c r="AG20"/>
  <c r="R21"/>
  <c r="AG21"/>
  <c r="R22"/>
  <c r="AG22"/>
  <c r="L23"/>
  <c r="M23" s="1"/>
  <c r="X23"/>
  <c r="AJ23"/>
  <c r="L24"/>
  <c r="X24"/>
  <c r="AJ24"/>
  <c r="L25"/>
  <c r="X25"/>
  <c r="AJ25"/>
  <c r="C26"/>
  <c r="D26" s="1"/>
  <c r="I26"/>
  <c r="L26"/>
  <c r="O26"/>
  <c r="U26"/>
  <c r="X26"/>
  <c r="AT26"/>
  <c r="AJ26"/>
  <c r="C27"/>
  <c r="D27" s="1"/>
  <c r="F27"/>
  <c r="I27"/>
  <c r="O27"/>
  <c r="P27" s="1"/>
  <c r="R27"/>
  <c r="U27"/>
  <c r="V27" s="1"/>
  <c r="AG27"/>
  <c r="L28"/>
  <c r="X28"/>
  <c r="Y28" s="1"/>
  <c r="AT28" s="1"/>
  <c r="AA28"/>
  <c r="AD28"/>
  <c r="AE28" s="1"/>
  <c r="AJ28"/>
  <c r="C29"/>
  <c r="I29"/>
  <c r="J29" s="1"/>
  <c r="L29"/>
  <c r="O29"/>
  <c r="X29"/>
  <c r="Y29" s="1"/>
  <c r="AT29" s="1"/>
  <c r="AD29"/>
  <c r="AG29"/>
  <c r="C30"/>
  <c r="D30" s="1"/>
  <c r="I30"/>
  <c r="J30" s="1"/>
  <c r="L30"/>
  <c r="O30"/>
  <c r="P30" s="1"/>
  <c r="X30"/>
  <c r="AA30"/>
  <c r="AB30" s="1"/>
  <c r="AD30"/>
  <c r="AE30" s="1"/>
  <c r="AJ30"/>
  <c r="C31"/>
  <c r="F31"/>
  <c r="I31"/>
  <c r="O31"/>
  <c r="P31" s="1"/>
  <c r="R31"/>
  <c r="S31" s="1"/>
  <c r="AR31" s="1"/>
  <c r="AD31"/>
  <c r="AE31" s="1"/>
  <c r="AJ31"/>
  <c r="F32"/>
  <c r="R32"/>
  <c r="S32" s="1"/>
  <c r="AR32" s="1"/>
  <c r="AD32"/>
  <c r="AJ32"/>
  <c r="L33"/>
  <c r="R33"/>
  <c r="S33" s="1"/>
  <c r="X33"/>
  <c r="Y33" s="1"/>
  <c r="AT33" s="1"/>
  <c r="AJ33"/>
  <c r="L34"/>
  <c r="AA34"/>
  <c r="AG5"/>
  <c r="AG6"/>
  <c r="O7"/>
  <c r="AQ7"/>
  <c r="AA7"/>
  <c r="AG7"/>
  <c r="AH7" s="1"/>
  <c r="C8"/>
  <c r="I8"/>
  <c r="J8" s="1"/>
  <c r="O8"/>
  <c r="U8"/>
  <c r="AG8"/>
  <c r="AH8" s="1"/>
  <c r="U9"/>
  <c r="AA9"/>
  <c r="AB9" s="1"/>
  <c r="AG9"/>
  <c r="AA10"/>
  <c r="AG10"/>
  <c r="AH10" s="1"/>
  <c r="AA11"/>
  <c r="AG12"/>
  <c r="AW12"/>
  <c r="AG13"/>
  <c r="AW13"/>
  <c r="C14"/>
  <c r="AG15"/>
  <c r="AG16"/>
  <c r="AG17"/>
  <c r="AA18"/>
  <c r="AA19"/>
  <c r="AB19" s="1"/>
  <c r="C20"/>
  <c r="D20" s="1"/>
  <c r="I20"/>
  <c r="O20"/>
  <c r="P20"/>
  <c r="U20"/>
  <c r="V20" s="1"/>
  <c r="AA20"/>
  <c r="C21"/>
  <c r="I21"/>
  <c r="J21" s="1"/>
  <c r="O21"/>
  <c r="U21"/>
  <c r="V21" s="1"/>
  <c r="AA21"/>
  <c r="C22"/>
  <c r="I22"/>
  <c r="J22" s="1"/>
  <c r="O22"/>
  <c r="U22"/>
  <c r="AA22"/>
  <c r="AB22" s="1"/>
  <c r="C23"/>
  <c r="D23" s="1"/>
  <c r="I23"/>
  <c r="O23"/>
  <c r="P23" s="1"/>
  <c r="U23"/>
  <c r="AA23"/>
  <c r="AB23"/>
  <c r="AG23"/>
  <c r="C24"/>
  <c r="I24"/>
  <c r="O24"/>
  <c r="P24" s="1"/>
  <c r="U24"/>
  <c r="V24" s="1"/>
  <c r="AA24"/>
  <c r="AB24" s="1"/>
  <c r="AG24"/>
  <c r="C25"/>
  <c r="I25"/>
  <c r="J25" s="1"/>
  <c r="O25"/>
  <c r="U25"/>
  <c r="AA25"/>
  <c r="AG25"/>
  <c r="AA26"/>
  <c r="AB26" s="1"/>
  <c r="AG26"/>
  <c r="AA27"/>
  <c r="C28"/>
  <c r="I28"/>
  <c r="J28" s="1"/>
  <c r="O28"/>
  <c r="U28"/>
  <c r="V28" s="1"/>
  <c r="AG28"/>
  <c r="F29"/>
  <c r="R29"/>
  <c r="S29" s="1"/>
  <c r="AR29" s="1"/>
  <c r="U29"/>
  <c r="V29" s="1"/>
  <c r="AA29"/>
  <c r="AJ29"/>
  <c r="F30"/>
  <c r="R30"/>
  <c r="U30"/>
  <c r="AG30"/>
  <c r="L31"/>
  <c r="U31"/>
  <c r="V31" s="1"/>
  <c r="X31"/>
  <c r="Y31" s="1"/>
  <c r="AT31" s="1"/>
  <c r="L32"/>
  <c r="X32"/>
  <c r="Y32" s="1"/>
  <c r="AT32" s="1"/>
  <c r="F33"/>
  <c r="Q33"/>
  <c r="AD33"/>
  <c r="AE33" s="1"/>
  <c r="F34"/>
  <c r="U34"/>
  <c r="V34" s="1"/>
  <c r="AG34"/>
  <c r="F35"/>
  <c r="O35"/>
  <c r="P35" s="1"/>
  <c r="AA35"/>
  <c r="AJ35"/>
  <c r="AJ6"/>
  <c r="AG35"/>
  <c r="M24" i="84" l="1"/>
  <c r="AE7" i="86"/>
  <c r="J25"/>
  <c r="J32" i="81"/>
  <c r="AB31" i="83"/>
  <c r="P35" i="91"/>
  <c r="P35" i="94"/>
  <c r="P35" i="89"/>
  <c r="P35" i="92"/>
  <c r="Y27" i="68"/>
  <c r="AT27" s="1"/>
  <c r="G23"/>
  <c r="P33" i="81"/>
  <c r="M24"/>
  <c r="V22" i="82"/>
  <c r="P34"/>
  <c r="V22" i="68"/>
  <c r="AE24"/>
  <c r="J30" i="81"/>
  <c r="AB32" i="82"/>
  <c r="V32"/>
  <c r="J25" i="83"/>
  <c r="V23" i="85"/>
  <c r="M10"/>
  <c r="Y34" i="87"/>
  <c r="AT34" s="1"/>
  <c r="AB31" i="88"/>
  <c r="D30"/>
  <c r="D29" i="91"/>
  <c r="J31" i="92"/>
  <c r="J31" i="83"/>
  <c r="P35"/>
  <c r="S29" i="84"/>
  <c r="AR29" s="1"/>
  <c r="J32"/>
  <c r="AB26" i="85"/>
  <c r="AB32" i="86"/>
  <c r="D31"/>
  <c r="P34" i="87"/>
  <c r="P35" i="88"/>
  <c r="AB31" i="89"/>
  <c r="S31"/>
  <c r="AR31" s="1"/>
  <c r="AB32" i="90"/>
  <c r="AB31" i="91"/>
  <c r="S31"/>
  <c r="AR31" s="1"/>
  <c r="AB31" i="92"/>
  <c r="Y28"/>
  <c r="AT28" s="1"/>
  <c r="P19" i="93"/>
  <c r="V22" i="95"/>
  <c r="V17"/>
  <c r="AB32" i="96"/>
  <c r="D29" i="97"/>
  <c r="P35"/>
  <c r="V22" i="93"/>
  <c r="AB26"/>
  <c r="AB31" i="94"/>
  <c r="S31"/>
  <c r="AR31" s="1"/>
  <c r="AE22" i="95"/>
  <c r="V22" i="96"/>
  <c r="V17"/>
  <c r="AB31" i="97"/>
  <c r="S31"/>
  <c r="AR31" s="1"/>
  <c r="AX36" i="84"/>
  <c r="AN36" i="87"/>
  <c r="AW36"/>
  <c r="AW36" i="88"/>
  <c r="AN36"/>
  <c r="AN36" i="85"/>
  <c r="AW36"/>
  <c r="AX36" i="97"/>
  <c r="AW36" i="92"/>
  <c r="AX36"/>
  <c r="AW36" i="83"/>
  <c r="AN36" i="93"/>
  <c r="AW36" i="90"/>
  <c r="AX36"/>
  <c r="AW36" i="96"/>
  <c r="AW36" i="94"/>
  <c r="AX36" i="82"/>
  <c r="AW36"/>
  <c r="AX36" i="86"/>
  <c r="AW36" i="95"/>
  <c r="AX36"/>
  <c r="AN36" i="96"/>
  <c r="AN36" i="82"/>
  <c r="AN36" i="94"/>
  <c r="AN36" i="95"/>
  <c r="AN36" i="89"/>
  <c r="AW36"/>
  <c r="AH6" i="97"/>
  <c r="D15"/>
  <c r="AB25"/>
  <c r="AB32"/>
  <c r="S9"/>
  <c r="J24"/>
  <c r="P26"/>
  <c r="J30"/>
  <c r="AE10"/>
  <c r="G15"/>
  <c r="V18"/>
  <c r="D24"/>
  <c r="M24"/>
  <c r="AE24"/>
  <c r="M10"/>
  <c r="V25"/>
  <c r="Y8"/>
  <c r="V11"/>
  <c r="AS11" s="1"/>
  <c r="AB13"/>
  <c r="P14"/>
  <c r="AE17"/>
  <c r="J19"/>
  <c r="P28"/>
  <c r="AE31"/>
  <c r="AH7"/>
  <c r="AB19"/>
  <c r="G21"/>
  <c r="M23"/>
  <c r="D30"/>
  <c r="M9"/>
  <c r="AE9"/>
  <c r="G14"/>
  <c r="AE16"/>
  <c r="J18"/>
  <c r="P20"/>
  <c r="P27"/>
  <c r="AB33"/>
  <c r="AO58"/>
  <c r="J11"/>
  <c r="P13"/>
  <c r="D16"/>
  <c r="V24"/>
  <c r="J25"/>
  <c r="AB26"/>
  <c r="AE30"/>
  <c r="G7"/>
  <c r="D9"/>
  <c r="V10"/>
  <c r="AS10" s="1"/>
  <c r="D23"/>
  <c r="Y28"/>
  <c r="AT28" s="1"/>
  <c r="J32"/>
  <c r="AB18"/>
  <c r="P19"/>
  <c r="S30"/>
  <c r="AR30" s="1"/>
  <c r="J17"/>
  <c r="G20"/>
  <c r="G6"/>
  <c r="AE8"/>
  <c r="P12"/>
  <c r="M15"/>
  <c r="V16"/>
  <c r="D22"/>
  <c r="Y27"/>
  <c r="AT27" s="1"/>
  <c r="AE29"/>
  <c r="V30"/>
  <c r="J31"/>
  <c r="P33"/>
  <c r="Y6"/>
  <c r="V9"/>
  <c r="AS9" s="1"/>
  <c r="J10"/>
  <c r="AE15"/>
  <c r="M22"/>
  <c r="V23"/>
  <c r="P47"/>
  <c r="AH5"/>
  <c r="D14"/>
  <c r="V15"/>
  <c r="AE7"/>
  <c r="J9"/>
  <c r="AB10"/>
  <c r="V22"/>
  <c r="S5"/>
  <c r="Y5"/>
  <c r="AB6"/>
  <c r="D7"/>
  <c r="V8"/>
  <c r="AS8" s="1"/>
  <c r="AH8"/>
  <c r="M11"/>
  <c r="S11"/>
  <c r="AE11"/>
  <c r="J12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AE9" i="96"/>
  <c r="V10"/>
  <c r="AS10" s="1"/>
  <c r="AB19"/>
  <c r="D9"/>
  <c r="M23"/>
  <c r="AE23"/>
  <c r="J25"/>
  <c r="AB26"/>
  <c r="P27"/>
  <c r="Y28"/>
  <c r="AT28" s="1"/>
  <c r="S31"/>
  <c r="AR31" s="1"/>
  <c r="AR36" s="1"/>
  <c r="J32"/>
  <c r="Y7"/>
  <c r="D23"/>
  <c r="AH7"/>
  <c r="M9"/>
  <c r="P13"/>
  <c r="P20"/>
  <c r="V31"/>
  <c r="AB33"/>
  <c r="P34"/>
  <c r="AO58"/>
  <c r="D16"/>
  <c r="G21"/>
  <c r="G7"/>
  <c r="S10"/>
  <c r="J18"/>
  <c r="V24"/>
  <c r="D30"/>
  <c r="AE30"/>
  <c r="P47"/>
  <c r="AU6"/>
  <c r="AU36" s="1"/>
  <c r="S36"/>
  <c r="AB11"/>
  <c r="J17"/>
  <c r="AB18"/>
  <c r="D22"/>
  <c r="AE22"/>
  <c r="Y27"/>
  <c r="AT27" s="1"/>
  <c r="V30"/>
  <c r="AH5"/>
  <c r="AE7"/>
  <c r="D8"/>
  <c r="J9"/>
  <c r="V9"/>
  <c r="AS9" s="1"/>
  <c r="J10"/>
  <c r="AB10"/>
  <c r="V15"/>
  <c r="P19"/>
  <c r="J24"/>
  <c r="J31"/>
  <c r="Y34"/>
  <c r="AT34" s="1"/>
  <c r="Y6"/>
  <c r="AE8"/>
  <c r="AE15"/>
  <c r="AO58" i="95"/>
  <c r="D23"/>
  <c r="AH7"/>
  <c r="M9"/>
  <c r="M36" s="1"/>
  <c r="P13"/>
  <c r="P20"/>
  <c r="V31"/>
  <c r="AB33"/>
  <c r="P34"/>
  <c r="J11"/>
  <c r="D16"/>
  <c r="G21"/>
  <c r="G7"/>
  <c r="S10"/>
  <c r="S36" s="1"/>
  <c r="J18"/>
  <c r="V24"/>
  <c r="D30"/>
  <c r="AE30"/>
  <c r="P47"/>
  <c r="AU6"/>
  <c r="AU36" s="1"/>
  <c r="AR36"/>
  <c r="Y6"/>
  <c r="J17"/>
  <c r="Y27"/>
  <c r="AT27" s="1"/>
  <c r="V30"/>
  <c r="AB32"/>
  <c r="AH5"/>
  <c r="AE7"/>
  <c r="D8"/>
  <c r="J9"/>
  <c r="V9"/>
  <c r="AS9" s="1"/>
  <c r="AS36" s="1"/>
  <c r="J10"/>
  <c r="AB10"/>
  <c r="D14"/>
  <c r="V15"/>
  <c r="P19"/>
  <c r="J24"/>
  <c r="J31"/>
  <c r="Y34"/>
  <c r="AT34" s="1"/>
  <c r="AE8"/>
  <c r="AB11"/>
  <c r="AE15"/>
  <c r="AB18"/>
  <c r="D22"/>
  <c r="J18" i="94"/>
  <c r="AB19"/>
  <c r="AE23"/>
  <c r="G7"/>
  <c r="M9"/>
  <c r="J11"/>
  <c r="M16"/>
  <c r="D23"/>
  <c r="AB33"/>
  <c r="Y7"/>
  <c r="AH7"/>
  <c r="D9"/>
  <c r="AE9"/>
  <c r="S10"/>
  <c r="P13"/>
  <c r="AE16"/>
  <c r="V17"/>
  <c r="P20"/>
  <c r="M23"/>
  <c r="V24"/>
  <c r="J25"/>
  <c r="AB26"/>
  <c r="Y28"/>
  <c r="AT28" s="1"/>
  <c r="AE30"/>
  <c r="J32"/>
  <c r="AO58"/>
  <c r="P47"/>
  <c r="AH5"/>
  <c r="D14"/>
  <c r="V15"/>
  <c r="V22"/>
  <c r="AS5"/>
  <c r="AE7"/>
  <c r="J9"/>
  <c r="AB10"/>
  <c r="S5"/>
  <c r="Y5"/>
  <c r="AB6"/>
  <c r="D7"/>
  <c r="V8"/>
  <c r="AS8" s="1"/>
  <c r="AH8"/>
  <c r="M11"/>
  <c r="S11"/>
  <c r="AE11"/>
  <c r="J12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M16" i="93"/>
  <c r="J25"/>
  <c r="V31"/>
  <c r="V24"/>
  <c r="S10"/>
  <c r="AB19"/>
  <c r="P27"/>
  <c r="Y28"/>
  <c r="AT28" s="1"/>
  <c r="D30"/>
  <c r="AE30"/>
  <c r="M23"/>
  <c r="S31"/>
  <c r="AR31" s="1"/>
  <c r="AH7"/>
  <c r="M9"/>
  <c r="AE9"/>
  <c r="P20"/>
  <c r="P34"/>
  <c r="G14"/>
  <c r="D16"/>
  <c r="AE16"/>
  <c r="G21"/>
  <c r="G7"/>
  <c r="Y7"/>
  <c r="D9"/>
  <c r="V10"/>
  <c r="AS10" s="1"/>
  <c r="J11"/>
  <c r="P13"/>
  <c r="V17"/>
  <c r="J18"/>
  <c r="D23"/>
  <c r="AE23"/>
  <c r="J32"/>
  <c r="AB33"/>
  <c r="D8"/>
  <c r="M8"/>
  <c r="AE8"/>
  <c r="AB11"/>
  <c r="G13"/>
  <c r="Y6"/>
  <c r="AH6"/>
  <c r="V9"/>
  <c r="AS9" s="1"/>
  <c r="D22"/>
  <c r="M22"/>
  <c r="AE22"/>
  <c r="J10"/>
  <c r="D15"/>
  <c r="M15"/>
  <c r="AE15"/>
  <c r="AB18"/>
  <c r="G20"/>
  <c r="V23"/>
  <c r="AE29"/>
  <c r="S30"/>
  <c r="AR30" s="1"/>
  <c r="P47"/>
  <c r="M7"/>
  <c r="G12"/>
  <c r="D21"/>
  <c r="AE21"/>
  <c r="P25"/>
  <c r="D28"/>
  <c r="J30"/>
  <c r="Y33"/>
  <c r="AT33" s="1"/>
  <c r="V8"/>
  <c r="AS8" s="1"/>
  <c r="P11"/>
  <c r="M14"/>
  <c r="P18"/>
  <c r="G19"/>
  <c r="J23"/>
  <c r="AU6"/>
  <c r="AU36" s="1"/>
  <c r="AS5"/>
  <c r="AH5"/>
  <c r="AE7"/>
  <c r="J9"/>
  <c r="AB10"/>
  <c r="D14"/>
  <c r="V15"/>
  <c r="Y7" i="92"/>
  <c r="M16"/>
  <c r="AE16"/>
  <c r="J18"/>
  <c r="P20"/>
  <c r="AE30"/>
  <c r="V31"/>
  <c r="AB33"/>
  <c r="AH7"/>
  <c r="V10"/>
  <c r="AS10" s="1"/>
  <c r="AE23"/>
  <c r="P27"/>
  <c r="P13"/>
  <c r="M23"/>
  <c r="G7"/>
  <c r="D9"/>
  <c r="AE9"/>
  <c r="S10"/>
  <c r="G14"/>
  <c r="D16"/>
  <c r="AB19"/>
  <c r="G21"/>
  <c r="D23"/>
  <c r="V24"/>
  <c r="J25"/>
  <c r="D30"/>
  <c r="S31"/>
  <c r="AR31" s="1"/>
  <c r="J32"/>
  <c r="M9"/>
  <c r="J11"/>
  <c r="AB26"/>
  <c r="AH6"/>
  <c r="D8"/>
  <c r="M8"/>
  <c r="AB11"/>
  <c r="AB18"/>
  <c r="P19"/>
  <c r="AE22"/>
  <c r="AB25"/>
  <c r="P33"/>
  <c r="S9"/>
  <c r="G13"/>
  <c r="D15"/>
  <c r="J17"/>
  <c r="G20"/>
  <c r="J24"/>
  <c r="P26"/>
  <c r="AE29"/>
  <c r="V30"/>
  <c r="G5"/>
  <c r="M14"/>
  <c r="D28"/>
  <c r="AO58"/>
  <c r="P47"/>
  <c r="G19"/>
  <c r="V29"/>
  <c r="J30"/>
  <c r="P32"/>
  <c r="AH5"/>
  <c r="AB10"/>
  <c r="D14"/>
  <c r="V15"/>
  <c r="AE7"/>
  <c r="J9"/>
  <c r="V22"/>
  <c r="S5"/>
  <c r="Y5"/>
  <c r="AB6"/>
  <c r="D7"/>
  <c r="V8"/>
  <c r="AS8" s="1"/>
  <c r="AS36" s="1"/>
  <c r="AH8"/>
  <c r="M11"/>
  <c r="S11"/>
  <c r="AE11"/>
  <c r="J12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G21" i="91"/>
  <c r="AE9"/>
  <c r="M23"/>
  <c r="D23"/>
  <c r="AB26"/>
  <c r="AE30"/>
  <c r="G7"/>
  <c r="D9"/>
  <c r="V10"/>
  <c r="AS10" s="1"/>
  <c r="M16"/>
  <c r="V17"/>
  <c r="AE23"/>
  <c r="P27"/>
  <c r="AB33"/>
  <c r="Y7"/>
  <c r="S10"/>
  <c r="V24"/>
  <c r="J25"/>
  <c r="D30"/>
  <c r="AH7"/>
  <c r="J11"/>
  <c r="G14"/>
  <c r="AE16"/>
  <c r="J18"/>
  <c r="P20"/>
  <c r="Y28"/>
  <c r="AT28" s="1"/>
  <c r="J32"/>
  <c r="AB11"/>
  <c r="D15"/>
  <c r="J24"/>
  <c r="P26"/>
  <c r="AB18"/>
  <c r="P19"/>
  <c r="S30"/>
  <c r="AR30" s="1"/>
  <c r="J17"/>
  <c r="G20"/>
  <c r="G6"/>
  <c r="AE8"/>
  <c r="P12"/>
  <c r="M15"/>
  <c r="V16"/>
  <c r="D22"/>
  <c r="Y27"/>
  <c r="AT27" s="1"/>
  <c r="AE29"/>
  <c r="V30"/>
  <c r="J31"/>
  <c r="P33"/>
  <c r="Y6"/>
  <c r="V9"/>
  <c r="AS9" s="1"/>
  <c r="J10"/>
  <c r="AE15"/>
  <c r="M22"/>
  <c r="V23"/>
  <c r="AO58"/>
  <c r="P47"/>
  <c r="AH5"/>
  <c r="J9"/>
  <c r="AB10"/>
  <c r="AE7"/>
  <c r="D14"/>
  <c r="V15"/>
  <c r="V22"/>
  <c r="S5"/>
  <c r="Y5"/>
  <c r="AB6"/>
  <c r="D7"/>
  <c r="V8"/>
  <c r="AS8" s="1"/>
  <c r="AH8"/>
  <c r="M11"/>
  <c r="S11"/>
  <c r="AE11"/>
  <c r="J12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Y7" i="90"/>
  <c r="M9"/>
  <c r="V10"/>
  <c r="AS10" s="1"/>
  <c r="AE16"/>
  <c r="V17"/>
  <c r="AE23"/>
  <c r="AH7"/>
  <c r="S10"/>
  <c r="G14"/>
  <c r="J18"/>
  <c r="D30"/>
  <c r="P34"/>
  <c r="AE8"/>
  <c r="J10"/>
  <c r="P12"/>
  <c r="D15"/>
  <c r="M15"/>
  <c r="V16"/>
  <c r="G20"/>
  <c r="M22"/>
  <c r="V23"/>
  <c r="AH6"/>
  <c r="M8"/>
  <c r="AE15"/>
  <c r="AB18"/>
  <c r="AE22"/>
  <c r="J24"/>
  <c r="AB25"/>
  <c r="Y27"/>
  <c r="AT27" s="1"/>
  <c r="S30"/>
  <c r="AR30" s="1"/>
  <c r="AS5"/>
  <c r="G7"/>
  <c r="J11"/>
  <c r="P13"/>
  <c r="M16"/>
  <c r="P20"/>
  <c r="G21"/>
  <c r="M23"/>
  <c r="J25"/>
  <c r="Y28"/>
  <c r="AT28" s="1"/>
  <c r="S31"/>
  <c r="AR31" s="1"/>
  <c r="S10" i="89"/>
  <c r="AE23"/>
  <c r="V31"/>
  <c r="M16"/>
  <c r="V17"/>
  <c r="J11"/>
  <c r="P13"/>
  <c r="D16"/>
  <c r="AB19"/>
  <c r="G21"/>
  <c r="V24"/>
  <c r="J25"/>
  <c r="D30"/>
  <c r="M9"/>
  <c r="AE9"/>
  <c r="G14"/>
  <c r="AE16"/>
  <c r="J18"/>
  <c r="P20"/>
  <c r="P27"/>
  <c r="AB33"/>
  <c r="AH7"/>
  <c r="M23"/>
  <c r="AB26"/>
  <c r="AE30"/>
  <c r="G7"/>
  <c r="D9"/>
  <c r="V10"/>
  <c r="AS10" s="1"/>
  <c r="D23"/>
  <c r="Y28"/>
  <c r="AT28" s="1"/>
  <c r="J32"/>
  <c r="AB18"/>
  <c r="P19"/>
  <c r="S30"/>
  <c r="AR30" s="1"/>
  <c r="J17"/>
  <c r="G20"/>
  <c r="G6"/>
  <c r="AE8"/>
  <c r="P12"/>
  <c r="M15"/>
  <c r="V16"/>
  <c r="D22"/>
  <c r="Y27"/>
  <c r="AT27" s="1"/>
  <c r="AE29"/>
  <c r="V30"/>
  <c r="J31"/>
  <c r="P33"/>
  <c r="Y6"/>
  <c r="V9"/>
  <c r="AS9" s="1"/>
  <c r="J10"/>
  <c r="AE15"/>
  <c r="M22"/>
  <c r="V23"/>
  <c r="AO58"/>
  <c r="P47"/>
  <c r="AH5"/>
  <c r="AE7"/>
  <c r="D14"/>
  <c r="V22"/>
  <c r="J9"/>
  <c r="AB10"/>
  <c r="V15"/>
  <c r="S5"/>
  <c r="Y5"/>
  <c r="AB6"/>
  <c r="D7"/>
  <c r="V8"/>
  <c r="AS8" s="1"/>
  <c r="AH8"/>
  <c r="M11"/>
  <c r="S11"/>
  <c r="AE11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S10" i="88"/>
  <c r="AE16"/>
  <c r="V24"/>
  <c r="J25"/>
  <c r="Y7"/>
  <c r="P13"/>
  <c r="AE30"/>
  <c r="V17"/>
  <c r="AB26"/>
  <c r="P20"/>
  <c r="Y28"/>
  <c r="AT28" s="1"/>
  <c r="J11"/>
  <c r="M16"/>
  <c r="D23"/>
  <c r="J18"/>
  <c r="AB19"/>
  <c r="AE23"/>
  <c r="S31"/>
  <c r="AR31" s="1"/>
  <c r="J32"/>
  <c r="AB33"/>
  <c r="AO58"/>
  <c r="AH7"/>
  <c r="D9"/>
  <c r="AE9"/>
  <c r="V31"/>
  <c r="G7"/>
  <c r="M9"/>
  <c r="V10"/>
  <c r="AS10" s="1"/>
  <c r="G14"/>
  <c r="D16"/>
  <c r="G21"/>
  <c r="P27"/>
  <c r="P47"/>
  <c r="AH5"/>
  <c r="J9"/>
  <c r="AB10"/>
  <c r="V22"/>
  <c r="AS5"/>
  <c r="AE7"/>
  <c r="D14"/>
  <c r="V15"/>
  <c r="S5"/>
  <c r="Y5"/>
  <c r="AB6"/>
  <c r="D7"/>
  <c r="V8"/>
  <c r="AS8" s="1"/>
  <c r="AH8"/>
  <c r="M11"/>
  <c r="S11"/>
  <c r="AE11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AO58" i="87"/>
  <c r="G7"/>
  <c r="D30"/>
  <c r="J32"/>
  <c r="P13"/>
  <c r="M16"/>
  <c r="J18"/>
  <c r="D23"/>
  <c r="AB26"/>
  <c r="Y28"/>
  <c r="AT28" s="1"/>
  <c r="AE30"/>
  <c r="S31"/>
  <c r="AR31" s="1"/>
  <c r="AE16"/>
  <c r="V17"/>
  <c r="V24"/>
  <c r="AH7"/>
  <c r="D9"/>
  <c r="AE9"/>
  <c r="V10"/>
  <c r="AS10" s="1"/>
  <c r="D16"/>
  <c r="AB19"/>
  <c r="AE23"/>
  <c r="V31"/>
  <c r="AE8"/>
  <c r="AH6"/>
  <c r="G20"/>
  <c r="M22"/>
  <c r="S9"/>
  <c r="P12"/>
  <c r="D15"/>
  <c r="M15"/>
  <c r="J17"/>
  <c r="D22"/>
  <c r="Y6"/>
  <c r="AE29"/>
  <c r="S30"/>
  <c r="AR30" s="1"/>
  <c r="AB32"/>
  <c r="G6"/>
  <c r="M8"/>
  <c r="AB11"/>
  <c r="G13"/>
  <c r="AE15"/>
  <c r="V16"/>
  <c r="AB18"/>
  <c r="AE22"/>
  <c r="V23"/>
  <c r="AB25"/>
  <c r="Y27"/>
  <c r="AT27" s="1"/>
  <c r="D29"/>
  <c r="V30"/>
  <c r="P47"/>
  <c r="AS5"/>
  <c r="AU6"/>
  <c r="AU36" s="1"/>
  <c r="D8"/>
  <c r="V9"/>
  <c r="AS9" s="1"/>
  <c r="J10"/>
  <c r="P19"/>
  <c r="J24"/>
  <c r="J31"/>
  <c r="V18" i="86"/>
  <c r="V11"/>
  <c r="AS11" s="1"/>
  <c r="AB13"/>
  <c r="D24"/>
  <c r="M24"/>
  <c r="AE31"/>
  <c r="AB20"/>
  <c r="G22"/>
  <c r="J26"/>
  <c r="AB6"/>
  <c r="AU6" s="1"/>
  <c r="AU36" s="1"/>
  <c r="S11"/>
  <c r="P14"/>
  <c r="M17"/>
  <c r="AE17"/>
  <c r="P21"/>
  <c r="V25"/>
  <c r="P28"/>
  <c r="AE10"/>
  <c r="D17"/>
  <c r="J19"/>
  <c r="AB27"/>
  <c r="V32"/>
  <c r="P35"/>
  <c r="G8"/>
  <c r="Y8"/>
  <c r="D10"/>
  <c r="AE24"/>
  <c r="Y29"/>
  <c r="AT29" s="1"/>
  <c r="S32"/>
  <c r="AR32" s="1"/>
  <c r="AE16"/>
  <c r="V24"/>
  <c r="Y7"/>
  <c r="P20"/>
  <c r="D16"/>
  <c r="D30"/>
  <c r="AH7"/>
  <c r="AE9"/>
  <c r="V10"/>
  <c r="AS10" s="1"/>
  <c r="M16"/>
  <c r="D23"/>
  <c r="S31"/>
  <c r="AR31" s="1"/>
  <c r="J32"/>
  <c r="AB33"/>
  <c r="P34"/>
  <c r="AO58"/>
  <c r="M9"/>
  <c r="S10"/>
  <c r="J11"/>
  <c r="P13"/>
  <c r="AB19"/>
  <c r="Y28"/>
  <c r="AT28" s="1"/>
  <c r="AE30"/>
  <c r="G7"/>
  <c r="D9"/>
  <c r="G14"/>
  <c r="V17"/>
  <c r="J18"/>
  <c r="G21"/>
  <c r="M23"/>
  <c r="AE23"/>
  <c r="V31"/>
  <c r="M8"/>
  <c r="G20"/>
  <c r="P26"/>
  <c r="AE29"/>
  <c r="G6"/>
  <c r="AH6"/>
  <c r="S9"/>
  <c r="P12"/>
  <c r="D15"/>
  <c r="M15"/>
  <c r="G13"/>
  <c r="V16"/>
  <c r="S30"/>
  <c r="AR30" s="1"/>
  <c r="M22"/>
  <c r="AB25"/>
  <c r="P33"/>
  <c r="P47"/>
  <c r="V8"/>
  <c r="AS8" s="1"/>
  <c r="G12"/>
  <c r="P25"/>
  <c r="AE28"/>
  <c r="Y5"/>
  <c r="S8"/>
  <c r="P11"/>
  <c r="J16"/>
  <c r="G19"/>
  <c r="M21"/>
  <c r="AE21"/>
  <c r="J23"/>
  <c r="D28"/>
  <c r="S29"/>
  <c r="AR29" s="1"/>
  <c r="Y6"/>
  <c r="AE8"/>
  <c r="AE15"/>
  <c r="D22"/>
  <c r="D8"/>
  <c r="J9"/>
  <c r="V9"/>
  <c r="AS9" s="1"/>
  <c r="J10"/>
  <c r="AB10"/>
  <c r="D14"/>
  <c r="V15"/>
  <c r="P19"/>
  <c r="V22"/>
  <c r="J24"/>
  <c r="J31"/>
  <c r="Y34"/>
  <c r="AT34" s="1"/>
  <c r="AB11"/>
  <c r="J17"/>
  <c r="AB18"/>
  <c r="AE22"/>
  <c r="Y27"/>
  <c r="AT27" s="1"/>
  <c r="V30"/>
  <c r="AH5"/>
  <c r="D16" i="85"/>
  <c r="D30"/>
  <c r="V31"/>
  <c r="Y7"/>
  <c r="S10"/>
  <c r="D23"/>
  <c r="S31"/>
  <c r="AR31" s="1"/>
  <c r="AH7"/>
  <c r="D9"/>
  <c r="V10"/>
  <c r="AS10" s="1"/>
  <c r="J11"/>
  <c r="G14"/>
  <c r="AE16"/>
  <c r="V17"/>
  <c r="J25"/>
  <c r="P27"/>
  <c r="J32"/>
  <c r="M9"/>
  <c r="M16"/>
  <c r="J18"/>
  <c r="P34"/>
  <c r="G7"/>
  <c r="AE9"/>
  <c r="P13"/>
  <c r="P20"/>
  <c r="G21"/>
  <c r="M23"/>
  <c r="Y28"/>
  <c r="AT28" s="1"/>
  <c r="AE30"/>
  <c r="AB33"/>
  <c r="AH6"/>
  <c r="AE8"/>
  <c r="J10"/>
  <c r="AB18"/>
  <c r="J24"/>
  <c r="AE29"/>
  <c r="S30"/>
  <c r="AR30" s="1"/>
  <c r="Y34"/>
  <c r="AT34" s="1"/>
  <c r="Y6"/>
  <c r="D8"/>
  <c r="V9"/>
  <c r="AS9" s="1"/>
  <c r="AB11"/>
  <c r="G13"/>
  <c r="AE15"/>
  <c r="V16"/>
  <c r="AE22"/>
  <c r="AB25"/>
  <c r="Y27"/>
  <c r="AT27" s="1"/>
  <c r="D29"/>
  <c r="V30"/>
  <c r="AB32"/>
  <c r="AO58"/>
  <c r="P47"/>
  <c r="AU6"/>
  <c r="AU36" s="1"/>
  <c r="AS5"/>
  <c r="G8"/>
  <c r="AE10"/>
  <c r="V18"/>
  <c r="M24"/>
  <c r="J11" i="84"/>
  <c r="P13"/>
  <c r="P20"/>
  <c r="D23"/>
  <c r="AE23"/>
  <c r="G21"/>
  <c r="M23"/>
  <c r="AB26"/>
  <c r="J18"/>
  <c r="P34"/>
  <c r="Y7"/>
  <c r="V24"/>
  <c r="Y28"/>
  <c r="AT28" s="1"/>
  <c r="V31"/>
  <c r="AB33"/>
  <c r="G7"/>
  <c r="D9"/>
  <c r="V10"/>
  <c r="AS10" s="1"/>
  <c r="V17"/>
  <c r="P27"/>
  <c r="S31"/>
  <c r="AR31" s="1"/>
  <c r="D16"/>
  <c r="M16"/>
  <c r="AE16"/>
  <c r="J25"/>
  <c r="D30"/>
  <c r="AE30"/>
  <c r="G6"/>
  <c r="Y6"/>
  <c r="AH6"/>
  <c r="D8"/>
  <c r="M15"/>
  <c r="AB18"/>
  <c r="J10"/>
  <c r="G13"/>
  <c r="V30"/>
  <c r="AB32"/>
  <c r="S9"/>
  <c r="P19"/>
  <c r="D22"/>
  <c r="M22"/>
  <c r="AE22"/>
  <c r="M8"/>
  <c r="AE8"/>
  <c r="V9"/>
  <c r="AS9" s="1"/>
  <c r="V16"/>
  <c r="J17"/>
  <c r="D29"/>
  <c r="AB11"/>
  <c r="P12"/>
  <c r="D15"/>
  <c r="AE15"/>
  <c r="V23"/>
  <c r="J24"/>
  <c r="AB25"/>
  <c r="S30"/>
  <c r="AR30" s="1"/>
  <c r="J31"/>
  <c r="AO58"/>
  <c r="Y5"/>
  <c r="V15"/>
  <c r="P18"/>
  <c r="D21"/>
  <c r="M21"/>
  <c r="AE21"/>
  <c r="V29"/>
  <c r="AB31"/>
  <c r="G5"/>
  <c r="D7"/>
  <c r="M7"/>
  <c r="S8"/>
  <c r="M14"/>
  <c r="AB17"/>
  <c r="D28"/>
  <c r="AE28"/>
  <c r="AS5"/>
  <c r="AH8"/>
  <c r="S11"/>
  <c r="J12"/>
  <c r="M17"/>
  <c r="AB20"/>
  <c r="P21"/>
  <c r="G22"/>
  <c r="AB27"/>
  <c r="J33"/>
  <c r="P47"/>
  <c r="AB6"/>
  <c r="J26"/>
  <c r="Y29"/>
  <c r="AT29" s="1"/>
  <c r="AT36" s="1"/>
  <c r="S32"/>
  <c r="AR32" s="1"/>
  <c r="P35"/>
  <c r="AH7"/>
  <c r="G8"/>
  <c r="M9"/>
  <c r="AE9"/>
  <c r="M10"/>
  <c r="S10"/>
  <c r="AE10"/>
  <c r="G14"/>
  <c r="V18"/>
  <c r="AB19"/>
  <c r="AN36" i="68"/>
  <c r="AN36" i="83"/>
  <c r="M9"/>
  <c r="AE23"/>
  <c r="AE30"/>
  <c r="Y7"/>
  <c r="M16"/>
  <c r="J11"/>
  <c r="Y28"/>
  <c r="AT28" s="1"/>
  <c r="D30"/>
  <c r="G14"/>
  <c r="V10"/>
  <c r="AS10" s="1"/>
  <c r="AB19"/>
  <c r="G21"/>
  <c r="M23"/>
  <c r="P27"/>
  <c r="S31"/>
  <c r="AR31" s="1"/>
  <c r="J32"/>
  <c r="D9"/>
  <c r="AE9"/>
  <c r="S10"/>
  <c r="AE16"/>
  <c r="J18"/>
  <c r="P20"/>
  <c r="AB26"/>
  <c r="V31"/>
  <c r="AB33"/>
  <c r="AH7"/>
  <c r="D16"/>
  <c r="G7"/>
  <c r="P13"/>
  <c r="D23"/>
  <c r="V24"/>
  <c r="Y6"/>
  <c r="P12"/>
  <c r="AE15"/>
  <c r="M22"/>
  <c r="Y27"/>
  <c r="AT27" s="1"/>
  <c r="AE8"/>
  <c r="D29"/>
  <c r="S30"/>
  <c r="AR30" s="1"/>
  <c r="AH6"/>
  <c r="D8"/>
  <c r="M8"/>
  <c r="AB11"/>
  <c r="AB18"/>
  <c r="P19"/>
  <c r="AE22"/>
  <c r="AB25"/>
  <c r="P33"/>
  <c r="S9"/>
  <c r="G13"/>
  <c r="D15"/>
  <c r="J17"/>
  <c r="G20"/>
  <c r="J24"/>
  <c r="P26"/>
  <c r="AE29"/>
  <c r="V30"/>
  <c r="AO58"/>
  <c r="G5"/>
  <c r="M14"/>
  <c r="D28"/>
  <c r="P47"/>
  <c r="G19"/>
  <c r="V29"/>
  <c r="J30"/>
  <c r="P32"/>
  <c r="AE7"/>
  <c r="J9"/>
  <c r="AB10"/>
  <c r="AS5"/>
  <c r="AH5"/>
  <c r="D14"/>
  <c r="V15"/>
  <c r="V22"/>
  <c r="S5"/>
  <c r="Y5"/>
  <c r="AB6"/>
  <c r="D7"/>
  <c r="V8"/>
  <c r="AS8" s="1"/>
  <c r="AH8"/>
  <c r="M11"/>
  <c r="S11"/>
  <c r="AE11"/>
  <c r="V12"/>
  <c r="AB14"/>
  <c r="J16"/>
  <c r="M17"/>
  <c r="AB17"/>
  <c r="D18"/>
  <c r="P18"/>
  <c r="AE18"/>
  <c r="V19"/>
  <c r="AB20"/>
  <c r="D21"/>
  <c r="P21"/>
  <c r="AE21"/>
  <c r="G22"/>
  <c r="J23"/>
  <c r="M25"/>
  <c r="J26"/>
  <c r="AB27"/>
  <c r="AB28"/>
  <c r="S29"/>
  <c r="AR29" s="1"/>
  <c r="Y29"/>
  <c r="AT29" s="1"/>
  <c r="Y30"/>
  <c r="AT30" s="1"/>
  <c r="D32"/>
  <c r="S32"/>
  <c r="AR32" s="1"/>
  <c r="J33"/>
  <c r="V33"/>
  <c r="AB35"/>
  <c r="AB13" i="82"/>
  <c r="D24"/>
  <c r="P28"/>
  <c r="S32"/>
  <c r="AR32" s="1"/>
  <c r="AR36" s="1"/>
  <c r="P35"/>
  <c r="AB6"/>
  <c r="Y8"/>
  <c r="J26"/>
  <c r="Y29"/>
  <c r="AT29" s="1"/>
  <c r="D31"/>
  <c r="AE31"/>
  <c r="J33"/>
  <c r="AE10"/>
  <c r="S11"/>
  <c r="P14"/>
  <c r="M17"/>
  <c r="M24"/>
  <c r="AE24"/>
  <c r="G8"/>
  <c r="AH8"/>
  <c r="D10"/>
  <c r="V11"/>
  <c r="AS11" s="1"/>
  <c r="J12"/>
  <c r="V18"/>
  <c r="G22"/>
  <c r="V25"/>
  <c r="V10"/>
  <c r="AS10" s="1"/>
  <c r="J11"/>
  <c r="G14"/>
  <c r="D16"/>
  <c r="AE16"/>
  <c r="AB19"/>
  <c r="D23"/>
  <c r="AE23"/>
  <c r="J32"/>
  <c r="AB33"/>
  <c r="D9"/>
  <c r="AE9"/>
  <c r="P13"/>
  <c r="G21"/>
  <c r="P27"/>
  <c r="Y28"/>
  <c r="AT28" s="1"/>
  <c r="D30"/>
  <c r="AE30"/>
  <c r="Y6"/>
  <c r="AH6"/>
  <c r="AE8"/>
  <c r="D15"/>
  <c r="M15"/>
  <c r="AE15"/>
  <c r="AB18"/>
  <c r="P19"/>
  <c r="V23"/>
  <c r="Y34"/>
  <c r="AT34" s="1"/>
  <c r="AO58"/>
  <c r="J10"/>
  <c r="G13"/>
  <c r="J17"/>
  <c r="AB25"/>
  <c r="D29"/>
  <c r="J31"/>
  <c r="P47"/>
  <c r="AU6"/>
  <c r="AU36" s="1"/>
  <c r="S36"/>
  <c r="AS5"/>
  <c r="AH5"/>
  <c r="AE7"/>
  <c r="J9"/>
  <c r="AB10"/>
  <c r="D14"/>
  <c r="V15"/>
  <c r="V36" s="1"/>
  <c r="AW36" i="81"/>
  <c r="AX36"/>
  <c r="AN36"/>
  <c r="P20"/>
  <c r="G21"/>
  <c r="D23"/>
  <c r="Y7"/>
  <c r="V24"/>
  <c r="D16"/>
  <c r="M16"/>
  <c r="AE16"/>
  <c r="D9"/>
  <c r="J11"/>
  <c r="P13"/>
  <c r="M23"/>
  <c r="S31"/>
  <c r="AR31" s="1"/>
  <c r="V17"/>
  <c r="J18"/>
  <c r="J25"/>
  <c r="P27"/>
  <c r="V31"/>
  <c r="AB33"/>
  <c r="AE23"/>
  <c r="Y28"/>
  <c r="AT28" s="1"/>
  <c r="D30"/>
  <c r="P34"/>
  <c r="G7"/>
  <c r="V10"/>
  <c r="AS10" s="1"/>
  <c r="AB26"/>
  <c r="AE30"/>
  <c r="V23"/>
  <c r="J24"/>
  <c r="P26"/>
  <c r="Y27"/>
  <c r="AT27" s="1"/>
  <c r="V30"/>
  <c r="AB32"/>
  <c r="V9"/>
  <c r="AS9" s="1"/>
  <c r="AB11"/>
  <c r="P12"/>
  <c r="S9"/>
  <c r="J10"/>
  <c r="V16"/>
  <c r="J17"/>
  <c r="AE29"/>
  <c r="G13"/>
  <c r="D15"/>
  <c r="AE15"/>
  <c r="P19"/>
  <c r="D22"/>
  <c r="M22"/>
  <c r="AE22"/>
  <c r="D29"/>
  <c r="S30"/>
  <c r="AR30" s="1"/>
  <c r="J31"/>
  <c r="J19"/>
  <c r="D17"/>
  <c r="D24"/>
  <c r="V25"/>
  <c r="AE31"/>
  <c r="AB13"/>
  <c r="AE17"/>
  <c r="AO58"/>
  <c r="D21"/>
  <c r="M21"/>
  <c r="AE21"/>
  <c r="AB31"/>
  <c r="G5"/>
  <c r="M7"/>
  <c r="S8"/>
  <c r="M14"/>
  <c r="AB17"/>
  <c r="D28"/>
  <c r="AE28"/>
  <c r="S29"/>
  <c r="AR29" s="1"/>
  <c r="Y5"/>
  <c r="V15"/>
  <c r="P18"/>
  <c r="V29"/>
  <c r="AE7"/>
  <c r="J9"/>
  <c r="G12"/>
  <c r="D14"/>
  <c r="J23"/>
  <c r="P25"/>
  <c r="Y33"/>
  <c r="AT33" s="1"/>
  <c r="AS5"/>
  <c r="AB6"/>
  <c r="AH8"/>
  <c r="S11"/>
  <c r="M17"/>
  <c r="AB20"/>
  <c r="P21"/>
  <c r="J26"/>
  <c r="AB27"/>
  <c r="Y29"/>
  <c r="AT29" s="1"/>
  <c r="S32"/>
  <c r="AR32" s="1"/>
  <c r="J33"/>
  <c r="P35"/>
  <c r="P47"/>
  <c r="AH7"/>
  <c r="G8"/>
  <c r="AE9"/>
  <c r="M10"/>
  <c r="S10"/>
  <c r="AE10"/>
  <c r="G14"/>
  <c r="V18"/>
  <c r="AB19"/>
  <c r="AX36" i="68"/>
  <c r="M25"/>
  <c r="V26"/>
  <c r="V33"/>
  <c r="AE18"/>
  <c r="V25"/>
  <c r="AB13"/>
  <c r="AB27"/>
  <c r="AB20"/>
  <c r="D31"/>
  <c r="J26"/>
  <c r="V18"/>
  <c r="M17"/>
  <c r="D17"/>
  <c r="S11"/>
  <c r="G22"/>
  <c r="P28"/>
  <c r="P21"/>
  <c r="D24"/>
  <c r="M24"/>
  <c r="AE17"/>
  <c r="G15"/>
  <c r="P14"/>
  <c r="V11"/>
  <c r="AS11" s="1"/>
  <c r="M10"/>
  <c r="D10"/>
  <c r="V32"/>
  <c r="J33"/>
  <c r="AW36"/>
  <c r="D28"/>
  <c r="J23"/>
  <c r="D21"/>
  <c r="AB10"/>
  <c r="AB17"/>
  <c r="J16"/>
  <c r="P32"/>
  <c r="G5"/>
  <c r="D32"/>
  <c r="P25"/>
  <c r="D14"/>
  <c r="V8"/>
  <c r="AS8" s="1"/>
  <c r="AH5"/>
  <c r="AB31"/>
  <c r="G8"/>
  <c r="AE10"/>
  <c r="D25"/>
  <c r="AB7"/>
  <c r="AB14"/>
  <c r="AB21"/>
  <c r="J20"/>
  <c r="P29"/>
  <c r="S12"/>
  <c r="V5"/>
  <c r="AS5" s="1"/>
  <c r="J34"/>
  <c r="P22"/>
  <c r="AB28"/>
  <c r="J27"/>
  <c r="G16"/>
  <c r="P15"/>
  <c r="M11"/>
  <c r="V19"/>
  <c r="M18"/>
  <c r="V12"/>
  <c r="D11"/>
  <c r="G9"/>
  <c r="AE25"/>
  <c r="AB35"/>
  <c r="Y30"/>
  <c r="AT30" s="1"/>
  <c r="D18"/>
  <c r="J13"/>
  <c r="AE11"/>
  <c r="Y9"/>
  <c r="J24"/>
  <c r="G6"/>
  <c r="G20"/>
  <c r="AE8"/>
  <c r="J31"/>
  <c r="AB25"/>
  <c r="AE29"/>
  <c r="J10"/>
  <c r="S30"/>
  <c r="AR30" s="1"/>
  <c r="AR36" s="1"/>
  <c r="V9"/>
  <c r="AS9" s="1"/>
  <c r="V16"/>
  <c r="M15"/>
  <c r="D15"/>
  <c r="P12"/>
  <c r="S9"/>
  <c r="P33"/>
  <c r="AE22"/>
  <c r="M22"/>
  <c r="M8"/>
  <c r="AO58"/>
  <c r="V30"/>
  <c r="AB11"/>
  <c r="AH6"/>
  <c r="D29"/>
  <c r="G13"/>
  <c r="P47"/>
  <c r="V23"/>
  <c r="D22"/>
  <c r="AB18"/>
  <c r="P26"/>
  <c r="P19"/>
  <c r="AE15"/>
  <c r="Y34"/>
  <c r="AB32"/>
  <c r="AE21"/>
  <c r="M21"/>
  <c r="AU6"/>
  <c r="AU36" s="1"/>
  <c r="P36" i="85" l="1"/>
  <c r="AB36"/>
  <c r="M36" i="87"/>
  <c r="AT36" i="94"/>
  <c r="AT36" i="97"/>
  <c r="G36"/>
  <c r="AS36"/>
  <c r="D36"/>
  <c r="AR36"/>
  <c r="AH36"/>
  <c r="M36"/>
  <c r="V36"/>
  <c r="P36"/>
  <c r="J36"/>
  <c r="S36"/>
  <c r="AE36"/>
  <c r="Y36"/>
  <c r="AB36"/>
  <c r="AU6"/>
  <c r="AU36" s="1"/>
  <c r="M36" i="96"/>
  <c r="G36"/>
  <c r="AS36"/>
  <c r="P36"/>
  <c r="AH36"/>
  <c r="AT36"/>
  <c r="Y36"/>
  <c r="J36"/>
  <c r="AE36"/>
  <c r="AB36"/>
  <c r="D36"/>
  <c r="V36"/>
  <c r="G36" i="95"/>
  <c r="AH36"/>
  <c r="AT36"/>
  <c r="AY36" s="1"/>
  <c r="P36"/>
  <c r="D36"/>
  <c r="J36"/>
  <c r="AB36"/>
  <c r="Y36"/>
  <c r="V36"/>
  <c r="AE36"/>
  <c r="G36" i="94"/>
  <c r="AR36"/>
  <c r="P36"/>
  <c r="AH36"/>
  <c r="M36"/>
  <c r="J36"/>
  <c r="Y36"/>
  <c r="D36"/>
  <c r="S36"/>
  <c r="AS36"/>
  <c r="V36"/>
  <c r="AE36"/>
  <c r="AB36"/>
  <c r="AU6"/>
  <c r="AU36" s="1"/>
  <c r="AT36" i="93"/>
  <c r="AR36"/>
  <c r="AB36"/>
  <c r="G36"/>
  <c r="J36"/>
  <c r="V36"/>
  <c r="S36"/>
  <c r="M36"/>
  <c r="D36"/>
  <c r="AH36"/>
  <c r="AE36"/>
  <c r="P36"/>
  <c r="AS36"/>
  <c r="Y36"/>
  <c r="P36" i="92"/>
  <c r="M36"/>
  <c r="AR36"/>
  <c r="J36"/>
  <c r="G36"/>
  <c r="D36"/>
  <c r="AT36"/>
  <c r="AH36"/>
  <c r="S36"/>
  <c r="V36"/>
  <c r="Y36"/>
  <c r="AE36"/>
  <c r="AB36"/>
  <c r="AU6"/>
  <c r="AU36" s="1"/>
  <c r="AY36" s="1"/>
  <c r="AT36" i="91"/>
  <c r="G36"/>
  <c r="D36"/>
  <c r="P36"/>
  <c r="AS36"/>
  <c r="S36"/>
  <c r="Y36"/>
  <c r="M36"/>
  <c r="AH36"/>
  <c r="J36"/>
  <c r="AR36"/>
  <c r="AE36"/>
  <c r="V36"/>
  <c r="AB36"/>
  <c r="AU6"/>
  <c r="AU36" s="1"/>
  <c r="AS36" i="90"/>
  <c r="G36"/>
  <c r="S36"/>
  <c r="J36"/>
  <c r="AH36"/>
  <c r="P36"/>
  <c r="AB36"/>
  <c r="D36"/>
  <c r="AE36"/>
  <c r="V36"/>
  <c r="M36"/>
  <c r="AR36"/>
  <c r="AY36" s="1"/>
  <c r="AT36"/>
  <c r="Y36"/>
  <c r="M36" i="89"/>
  <c r="AS36"/>
  <c r="G36"/>
  <c r="P36"/>
  <c r="S36"/>
  <c r="AR36"/>
  <c r="Y36"/>
  <c r="J36"/>
  <c r="AH36"/>
  <c r="D36"/>
  <c r="AT36"/>
  <c r="AE36"/>
  <c r="AB36"/>
  <c r="AU6"/>
  <c r="AU36" s="1"/>
  <c r="V36"/>
  <c r="P36" i="88"/>
  <c r="AR36"/>
  <c r="M36"/>
  <c r="AT36"/>
  <c r="J36"/>
  <c r="AH36"/>
  <c r="G36"/>
  <c r="D36"/>
  <c r="S36"/>
  <c r="AS36"/>
  <c r="V36"/>
  <c r="Y36"/>
  <c r="AE36"/>
  <c r="AB36"/>
  <c r="AU6"/>
  <c r="AU36" s="1"/>
  <c r="AT36" i="87"/>
  <c r="AR36"/>
  <c r="AH36"/>
  <c r="G36"/>
  <c r="AE36"/>
  <c r="P36"/>
  <c r="AB36"/>
  <c r="D36"/>
  <c r="Y36"/>
  <c r="S36"/>
  <c r="AS36"/>
  <c r="J36"/>
  <c r="V36"/>
  <c r="AR36" i="86"/>
  <c r="G36"/>
  <c r="AH36"/>
  <c r="AS36"/>
  <c r="M36"/>
  <c r="S36"/>
  <c r="AE36"/>
  <c r="P36"/>
  <c r="V36"/>
  <c r="AT36"/>
  <c r="AB36"/>
  <c r="D36"/>
  <c r="J36"/>
  <c r="Y36"/>
  <c r="AT36" i="85"/>
  <c r="M36"/>
  <c r="AR36"/>
  <c r="S36"/>
  <c r="D36"/>
  <c r="AH36"/>
  <c r="G36"/>
  <c r="J36"/>
  <c r="AS36"/>
  <c r="AE36"/>
  <c r="Y36"/>
  <c r="V36"/>
  <c r="AR36" i="84"/>
  <c r="V36"/>
  <c r="AS36"/>
  <c r="D36"/>
  <c r="AE36"/>
  <c r="P36"/>
  <c r="J36"/>
  <c r="AH36"/>
  <c r="M36"/>
  <c r="S36"/>
  <c r="G36"/>
  <c r="AB36"/>
  <c r="AU6"/>
  <c r="AU36" s="1"/>
  <c r="Y36"/>
  <c r="G36" i="83"/>
  <c r="AT36"/>
  <c r="M36"/>
  <c r="D36"/>
  <c r="P36"/>
  <c r="S36"/>
  <c r="AH36"/>
  <c r="AR36"/>
  <c r="Y36"/>
  <c r="J36"/>
  <c r="AU6"/>
  <c r="AU36" s="1"/>
  <c r="AB36"/>
  <c r="AE36"/>
  <c r="AS36"/>
  <c r="V36"/>
  <c r="M36" i="82"/>
  <c r="P36"/>
  <c r="AT36"/>
  <c r="AB36"/>
  <c r="AS36"/>
  <c r="AY36" s="1"/>
  <c r="G36"/>
  <c r="J36"/>
  <c r="AH36"/>
  <c r="Y36"/>
  <c r="AE36"/>
  <c r="D36"/>
  <c r="AS36" i="81"/>
  <c r="AT36"/>
  <c r="V36"/>
  <c r="AH36"/>
  <c r="AR36"/>
  <c r="D36"/>
  <c r="M36"/>
  <c r="J36"/>
  <c r="S36"/>
  <c r="G36"/>
  <c r="AE36"/>
  <c r="P36"/>
  <c r="Y36"/>
  <c r="AB36"/>
  <c r="AU6"/>
  <c r="AU36" s="1"/>
  <c r="Y36" i="68"/>
  <c r="AH36"/>
  <c r="D36"/>
  <c r="G36"/>
  <c r="J36"/>
  <c r="V36"/>
  <c r="AS36"/>
  <c r="AE36"/>
  <c r="P36"/>
  <c r="M36"/>
  <c r="S36"/>
  <c r="AB36"/>
  <c r="AT34"/>
  <c r="AT36" s="1"/>
  <c r="AY36" i="85" l="1"/>
  <c r="AY36" i="97"/>
  <c r="AK37"/>
  <c r="AI46" s="1"/>
  <c r="AK50" s="1"/>
  <c r="AY36" i="96"/>
  <c r="AK37"/>
  <c r="AI46" s="1"/>
  <c r="AK48" s="1"/>
  <c r="M74" s="1"/>
  <c r="AK37" i="95"/>
  <c r="AI46" s="1"/>
  <c r="AK50" s="1"/>
  <c r="AK37" i="94"/>
  <c r="AI46" s="1"/>
  <c r="AK50" s="1"/>
  <c r="AY36"/>
  <c r="AY36" i="93"/>
  <c r="AK37"/>
  <c r="AI46" s="1"/>
  <c r="AK50" s="1"/>
  <c r="AK37" i="92"/>
  <c r="AI46" s="1"/>
  <c r="AK50" s="1"/>
  <c r="AY36" i="91"/>
  <c r="AK37"/>
  <c r="AI46" s="1"/>
  <c r="AK50" s="1"/>
  <c r="AK37" i="90"/>
  <c r="AI46" s="1"/>
  <c r="AK50" s="1"/>
  <c r="AY36" i="89"/>
  <c r="AK37"/>
  <c r="AI46" s="1"/>
  <c r="AK50" s="1"/>
  <c r="AY36" i="88"/>
  <c r="AK37"/>
  <c r="AI46" s="1"/>
  <c r="AK50" s="1"/>
  <c r="AY36" i="87"/>
  <c r="AK37"/>
  <c r="AI46" s="1"/>
  <c r="AK48" s="1"/>
  <c r="M74" s="1"/>
  <c r="AY36" i="86"/>
  <c r="AK37"/>
  <c r="AI46" s="1"/>
  <c r="AK50" s="1"/>
  <c r="AK37" i="85"/>
  <c r="AI46" s="1"/>
  <c r="AK48" s="1"/>
  <c r="M74" s="1"/>
  <c r="AY36" i="84"/>
  <c r="AK37"/>
  <c r="AI46" s="1"/>
  <c r="AY36" i="83"/>
  <c r="AK37"/>
  <c r="AI46" s="1"/>
  <c r="AK48" s="1"/>
  <c r="M74" s="1"/>
  <c r="AK37" i="82"/>
  <c r="AI46" s="1"/>
  <c r="AK37" i="81"/>
  <c r="AY36"/>
  <c r="AY36" i="68"/>
  <c r="AK37"/>
  <c r="AK50" i="85" l="1"/>
  <c r="AK48" i="84"/>
  <c r="M74" s="1"/>
  <c r="AK50"/>
  <c r="AK48" i="97"/>
  <c r="M74" s="1"/>
  <c r="AK50" i="96"/>
  <c r="AK48" i="95"/>
  <c r="M74" s="1"/>
  <c r="AK48" i="94"/>
  <c r="M74" s="1"/>
  <c r="AK48" i="93"/>
  <c r="M74" s="1"/>
  <c r="AK48" i="92"/>
  <c r="M74" s="1"/>
  <c r="AK48" i="91"/>
  <c r="M74" s="1"/>
  <c r="AK48" i="90"/>
  <c r="M74" s="1"/>
  <c r="AK48" i="89"/>
  <c r="M74" s="1"/>
  <c r="AK48" i="88"/>
  <c r="M74" s="1"/>
  <c r="AK50" i="87"/>
  <c r="AK48" i="86"/>
  <c r="M74" s="1"/>
  <c r="AI46" i="68"/>
  <c r="AK50" s="1"/>
  <c r="AK50" i="83"/>
  <c r="AK48" i="82"/>
  <c r="M74" s="1"/>
  <c r="AK50"/>
  <c r="AI46" i="81"/>
  <c r="AK48" i="68" l="1"/>
  <c r="M74" s="1"/>
  <c r="AK48" i="81"/>
  <c r="M74" s="1"/>
  <c r="AK50"/>
</calcChain>
</file>

<file path=xl/sharedStrings.xml><?xml version="1.0" encoding="utf-8"?>
<sst xmlns="http://schemas.openxmlformats.org/spreadsheetml/2006/main" count="1642" uniqueCount="95">
  <si>
    <t>JANVIER</t>
  </si>
  <si>
    <t>FEVRIER</t>
  </si>
  <si>
    <t xml:space="preserve">MARS </t>
  </si>
  <si>
    <t xml:space="preserve"> AVRIL 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</si>
  <si>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</si>
  <si>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</si>
  <si>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</si>
  <si>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</si>
  <si>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</si>
  <si>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</si>
  <si>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</si>
  <si>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</si>
  <si>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LUNDI</t>
  </si>
  <si>
    <t>MARDI</t>
  </si>
  <si>
    <t>MERCREDI</t>
  </si>
  <si>
    <t>JEUDI</t>
  </si>
  <si>
    <t>VENDREDI</t>
  </si>
  <si>
    <t xml:space="preserve">HORAIRES DE LA SEMAINE : </t>
  </si>
  <si>
    <t>Vacances de la Toussaint :</t>
  </si>
  <si>
    <t>Vacances de Noël :</t>
  </si>
  <si>
    <t>Vacances d'hiver :</t>
  </si>
  <si>
    <t>Vacances de printemps :</t>
  </si>
  <si>
    <t>Vacances d'été :</t>
  </si>
  <si>
    <t>Calendrier des vacances scolaires</t>
  </si>
  <si>
    <t>Fractionnement :</t>
  </si>
  <si>
    <t>Base annuelle :</t>
  </si>
  <si>
    <t>Total</t>
  </si>
  <si>
    <t>Taux d'emploi :</t>
  </si>
  <si>
    <t>%</t>
  </si>
  <si>
    <t>o</t>
  </si>
  <si>
    <t>n</t>
  </si>
  <si>
    <t>d</t>
  </si>
  <si>
    <t>j</t>
  </si>
  <si>
    <t>f</t>
  </si>
  <si>
    <t>m</t>
  </si>
  <si>
    <t>a</t>
  </si>
  <si>
    <t>Les permanences ne peuvent excéder 36 jours</t>
  </si>
  <si>
    <t>Amplitude hebdomadaire mini</t>
  </si>
  <si>
    <t>Amplitude hebdomadaire maxi</t>
  </si>
  <si>
    <t>Amplitude journalière mini</t>
  </si>
  <si>
    <t>Amplitude journalière maxi</t>
  </si>
  <si>
    <t>Pause méridiène mini</t>
  </si>
  <si>
    <t>millésime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</si>
  <si>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</si>
  <si>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</si>
  <si>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</si>
  <si>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</si>
  <si>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</si>
  <si>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</si>
  <si>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</si>
  <si>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</si>
  <si>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</si>
  <si>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</si>
  <si>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</si>
  <si>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</si>
  <si>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</t>
  </si>
  <si>
    <t>O</t>
  </si>
  <si>
    <t>N</t>
  </si>
  <si>
    <t>D</t>
  </si>
  <si>
    <t>J</t>
  </si>
  <si>
    <t>F</t>
  </si>
  <si>
    <t>M</t>
  </si>
  <si>
    <t>A</t>
  </si>
  <si>
    <t>Le temps hebdomadaire est réparti sur</t>
  </si>
  <si>
    <t>Agent :</t>
  </si>
  <si>
    <t>Jours fériés comptabilisé</t>
  </si>
  <si>
    <t>Heures dûes</t>
  </si>
  <si>
    <t>HEURES EFFECTUEES</t>
  </si>
  <si>
    <t>ou</t>
  </si>
  <si>
    <t>A récupérer</t>
  </si>
  <si>
    <t xml:space="preserve">Emploi du temps et fonctions modulables selon les besoins du service </t>
  </si>
  <si>
    <t>Vu et pris connaissance le :</t>
  </si>
  <si>
    <t>L'Agent</t>
  </si>
  <si>
    <t>Le Gestionnaire</t>
  </si>
  <si>
    <t>Le Proviseur</t>
  </si>
  <si>
    <t>5 jours</t>
  </si>
  <si>
    <r>
      <t>Rappel</t>
    </r>
    <r>
      <rPr>
        <sz val="10"/>
        <rFont val="Arial"/>
        <family val="2"/>
      </rPr>
      <t xml:space="preserve"> :</t>
    </r>
  </si>
  <si>
    <t>HORAIRES HEBDOMADAIRES hors vacances scolaires</t>
  </si>
  <si>
    <t>Pause (accordée pour plus de 6h</t>
  </si>
  <si>
    <t xml:space="preserve">            de travail)</t>
  </si>
  <si>
    <t>Lundi</t>
  </si>
  <si>
    <t>Mardi</t>
  </si>
  <si>
    <t>Mercredi</t>
  </si>
  <si>
    <t>Jeudi</t>
  </si>
  <si>
    <t>Vendredi</t>
  </si>
  <si>
    <t>Horaires vacances scolaires
avec 45 min de pause déjeuner</t>
  </si>
  <si>
    <t>Heures à récupérer</t>
  </si>
  <si>
    <t>Reste à effectuer sous service</t>
  </si>
  <si>
    <t>La pause déjeuner est copmtée de 12h à 12h30 mais l'agent pourra prendre de 12h à 12h45, les 15 minutes</t>
  </si>
  <si>
    <t>étant prises sur la pause méridienne,</t>
  </si>
  <si>
    <t>La pause méridienne de 20 min est comptabilisée comme tems de travail, 15 min déjeuner et 5 min journée</t>
  </si>
  <si>
    <t>dimanche 4 novembre 2018</t>
  </si>
  <si>
    <t>CDD</t>
  </si>
  <si>
    <t>formation</t>
  </si>
  <si>
    <t/>
  </si>
</sst>
</file>

<file path=xl/styles.xml><?xml version="1.0" encoding="utf-8"?>
<styleSheet xmlns="http://schemas.openxmlformats.org/spreadsheetml/2006/main">
  <numFmts count="4">
    <numFmt numFmtId="164" formatCode="[h]:mm:ss;@"/>
    <numFmt numFmtId="165" formatCode="h:mm;@"/>
    <numFmt numFmtId="166" formatCode="[hh]:mm"/>
    <numFmt numFmtId="167" formatCode="[$-F800]dddd\,\ mmmm\ dd\,\ yyyy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Black"/>
      <family val="2"/>
    </font>
    <font>
      <b/>
      <sz val="10"/>
      <name val="Arial"/>
      <family val="2"/>
    </font>
    <font>
      <sz val="12"/>
      <name val="Arial Black"/>
      <family val="2"/>
    </font>
    <font>
      <sz val="8"/>
      <name val="Arial Black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7.5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theme="8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/>
    <xf numFmtId="2" fontId="2" fillId="0" borderId="0" xfId="0" applyNumberFormat="1" applyFont="1" applyFill="1" applyBorder="1" applyAlignment="1">
      <alignment horizontal="center"/>
    </xf>
    <xf numFmtId="2" fontId="6" fillId="0" borderId="0" xfId="0" applyNumberFormat="1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2" fontId="0" fillId="0" borderId="0" xfId="0" applyNumberFormat="1" applyBorder="1"/>
    <xf numFmtId="0" fontId="0" fillId="0" borderId="0" xfId="0" applyBorder="1"/>
    <xf numFmtId="164" fontId="9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6" fontId="10" fillId="3" borderId="7" xfId="0" applyNumberFormat="1" applyFont="1" applyFill="1" applyBorder="1" applyAlignment="1">
      <alignment horizontal="center"/>
    </xf>
    <xf numFmtId="166" fontId="10" fillId="3" borderId="8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9" fillId="4" borderId="10" xfId="0" applyFont="1" applyFill="1" applyBorder="1" applyAlignment="1">
      <alignment horizontal="left"/>
    </xf>
    <xf numFmtId="2" fontId="0" fillId="4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9" fillId="4" borderId="13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2" fontId="1" fillId="0" borderId="0" xfId="0" applyNumberFormat="1" applyFont="1"/>
    <xf numFmtId="0" fontId="11" fillId="0" borderId="0" xfId="0" applyFont="1"/>
    <xf numFmtId="165" fontId="20" fillId="2" borderId="16" xfId="0" applyNumberFormat="1" applyFont="1" applyFill="1" applyBorder="1" applyAlignment="1" applyProtection="1">
      <alignment horizontal="center"/>
      <protection locked="0"/>
    </xf>
    <xf numFmtId="1" fontId="22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166" fontId="0" fillId="0" borderId="0" xfId="0" applyNumberFormat="1"/>
    <xf numFmtId="0" fontId="11" fillId="5" borderId="17" xfId="0" applyFont="1" applyFill="1" applyBorder="1" applyAlignment="1"/>
    <xf numFmtId="0" fontId="11" fillId="5" borderId="18" xfId="0" applyFont="1" applyFill="1" applyBorder="1" applyAlignment="1"/>
    <xf numFmtId="0" fontId="11" fillId="5" borderId="18" xfId="0" applyFont="1" applyFill="1" applyBorder="1"/>
    <xf numFmtId="0" fontId="11" fillId="5" borderId="19" xfId="0" applyFont="1" applyFill="1" applyBorder="1"/>
    <xf numFmtId="2" fontId="0" fillId="5" borderId="18" xfId="0" applyNumberFormat="1" applyFill="1" applyBorder="1"/>
    <xf numFmtId="2" fontId="0" fillId="5" borderId="19" xfId="0" applyNumberFormat="1" applyFill="1" applyBorder="1"/>
    <xf numFmtId="2" fontId="0" fillId="5" borderId="20" xfId="0" applyNumberFormat="1" applyFill="1" applyBorder="1"/>
    <xf numFmtId="0" fontId="0" fillId="5" borderId="21" xfId="0" applyFill="1" applyBorder="1"/>
    <xf numFmtId="166" fontId="18" fillId="5" borderId="12" xfId="0" applyNumberFormat="1" applyFont="1" applyFill="1" applyBorder="1"/>
    <xf numFmtId="166" fontId="18" fillId="5" borderId="13" xfId="0" applyNumberFormat="1" applyFont="1" applyFill="1" applyBorder="1"/>
    <xf numFmtId="165" fontId="21" fillId="2" borderId="22" xfId="0" applyNumberFormat="1" applyFont="1" applyFill="1" applyBorder="1" applyAlignment="1" applyProtection="1">
      <protection locked="0"/>
    </xf>
    <xf numFmtId="166" fontId="6" fillId="2" borderId="22" xfId="0" applyNumberFormat="1" applyFont="1" applyFill="1" applyBorder="1" applyAlignment="1"/>
    <xf numFmtId="166" fontId="6" fillId="2" borderId="22" xfId="0" applyNumberFormat="1" applyFont="1" applyFill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0" fontId="2" fillId="2" borderId="15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 wrapText="1"/>
    </xf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9" fillId="0" borderId="0" xfId="0" applyFont="1" applyAlignment="1"/>
    <xf numFmtId="20" fontId="23" fillId="0" borderId="0" xfId="0" applyNumberFormat="1" applyFont="1"/>
    <xf numFmtId="0" fontId="23" fillId="0" borderId="0" xfId="0" applyFont="1"/>
    <xf numFmtId="0" fontId="11" fillId="0" borderId="0" xfId="0" applyNumberFormat="1" applyFont="1"/>
    <xf numFmtId="0" fontId="2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18" fillId="0" borderId="0" xfId="0" applyFont="1"/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Border="1" applyAlignment="1"/>
    <xf numFmtId="165" fontId="20" fillId="2" borderId="16" xfId="0" applyNumberFormat="1" applyFont="1" applyFill="1" applyBorder="1" applyAlignment="1" applyProtection="1">
      <alignment horizontal="center"/>
    </xf>
    <xf numFmtId="165" fontId="20" fillId="5" borderId="16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165" fontId="12" fillId="0" borderId="0" xfId="0" applyNumberFormat="1" applyFont="1" applyAlignment="1" applyProtection="1">
      <protection hidden="1"/>
    </xf>
    <xf numFmtId="0" fontId="18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3" fillId="7" borderId="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left" vertical="top" wrapText="1"/>
    </xf>
    <xf numFmtId="0" fontId="13" fillId="8" borderId="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left" vertical="top" wrapText="1"/>
    </xf>
    <xf numFmtId="165" fontId="20" fillId="8" borderId="16" xfId="0" applyNumberFormat="1" applyFont="1" applyFill="1" applyBorder="1" applyAlignment="1" applyProtection="1">
      <alignment horizontal="center"/>
      <protection locked="0"/>
    </xf>
    <xf numFmtId="165" fontId="20" fillId="7" borderId="16" xfId="0" applyNumberFormat="1" applyFont="1" applyFill="1" applyBorder="1" applyAlignment="1" applyProtection="1">
      <alignment horizontal="center"/>
      <protection locked="0"/>
    </xf>
    <xf numFmtId="165" fontId="20" fillId="9" borderId="16" xfId="0" applyNumberFormat="1" applyFont="1" applyFill="1" applyBorder="1" applyAlignment="1" applyProtection="1">
      <alignment horizontal="center"/>
    </xf>
    <xf numFmtId="165" fontId="20" fillId="8" borderId="16" xfId="0" applyNumberFormat="1" applyFont="1" applyFill="1" applyBorder="1" applyAlignment="1" applyProtection="1">
      <alignment horizontal="center"/>
    </xf>
    <xf numFmtId="165" fontId="4" fillId="0" borderId="23" xfId="0" applyNumberFormat="1" applyFont="1" applyFill="1" applyBorder="1" applyAlignment="1" applyProtection="1">
      <alignment horizontal="center"/>
    </xf>
    <xf numFmtId="165" fontId="20" fillId="7" borderId="16" xfId="0" applyNumberFormat="1" applyFont="1" applyFill="1" applyBorder="1" applyAlignment="1" applyProtection="1">
      <alignment horizontal="center"/>
    </xf>
    <xf numFmtId="165" fontId="4" fillId="0" borderId="16" xfId="0" applyNumberFormat="1" applyFont="1" applyFill="1" applyBorder="1" applyAlignment="1" applyProtection="1">
      <alignment horizontal="center"/>
    </xf>
    <xf numFmtId="165" fontId="26" fillId="5" borderId="16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0" fontId="3" fillId="0" borderId="0" xfId="0" applyFont="1" applyAlignment="1"/>
    <xf numFmtId="166" fontId="3" fillId="10" borderId="0" xfId="0" applyNumberFormat="1" applyFont="1" applyFill="1" applyAlignment="1"/>
    <xf numFmtId="0" fontId="1" fillId="0" borderId="0" xfId="0" applyFont="1"/>
    <xf numFmtId="0" fontId="19" fillId="0" borderId="0" xfId="0" applyFont="1" applyAlignment="1">
      <alignment horizontal="left"/>
    </xf>
    <xf numFmtId="166" fontId="0" fillId="0" borderId="0" xfId="0" applyNumberForma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/>
    <xf numFmtId="0" fontId="2" fillId="0" borderId="0" xfId="0" applyFont="1"/>
    <xf numFmtId="0" fontId="15" fillId="0" borderId="0" xfId="0" applyFont="1" applyAlignment="1"/>
    <xf numFmtId="0" fontId="25" fillId="0" borderId="0" xfId="0" applyFont="1"/>
    <xf numFmtId="166" fontId="6" fillId="11" borderId="0" xfId="0" applyNumberFormat="1" applyFont="1" applyFill="1"/>
    <xf numFmtId="166" fontId="27" fillId="0" borderId="0" xfId="0" applyNumberFormat="1" applyFont="1"/>
    <xf numFmtId="0" fontId="6" fillId="0" borderId="26" xfId="0" applyFont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167" fontId="16" fillId="5" borderId="18" xfId="0" applyNumberFormat="1" applyFont="1" applyFill="1" applyBorder="1" applyAlignment="1">
      <alignment horizontal="left"/>
    </xf>
    <xf numFmtId="167" fontId="16" fillId="5" borderId="0" xfId="0" applyNumberFormat="1" applyFont="1" applyFill="1" applyBorder="1" applyAlignment="1">
      <alignment horizontal="left"/>
    </xf>
    <xf numFmtId="167" fontId="16" fillId="5" borderId="24" xfId="0" applyNumberFormat="1" applyFont="1" applyFill="1" applyBorder="1" applyAlignment="1">
      <alignment horizontal="left"/>
    </xf>
    <xf numFmtId="0" fontId="10" fillId="5" borderId="1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25" xfId="0" applyFont="1" applyFill="1" applyBorder="1" applyAlignment="1">
      <alignment horizontal="left"/>
    </xf>
    <xf numFmtId="167" fontId="16" fillId="5" borderId="19" xfId="0" applyNumberFormat="1" applyFont="1" applyFill="1" applyBorder="1" applyAlignment="1">
      <alignment horizontal="left"/>
    </xf>
    <xf numFmtId="167" fontId="16" fillId="5" borderId="2" xfId="0" applyNumberFormat="1" applyFont="1" applyFill="1" applyBorder="1" applyAlignment="1">
      <alignment horizontal="left"/>
    </xf>
    <xf numFmtId="167" fontId="16" fillId="5" borderId="25" xfId="0" applyNumberFormat="1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2" fontId="10" fillId="5" borderId="10" xfId="0" applyNumberFormat="1" applyFont="1" applyFill="1" applyBorder="1" applyAlignment="1">
      <alignment horizontal="left"/>
    </xf>
    <xf numFmtId="2" fontId="10" fillId="5" borderId="0" xfId="0" applyNumberFormat="1" applyFont="1" applyFill="1" applyBorder="1" applyAlignment="1">
      <alignment horizontal="left"/>
    </xf>
    <xf numFmtId="2" fontId="10" fillId="5" borderId="24" xfId="0" applyNumberFormat="1" applyFont="1" applyFill="1" applyBorder="1" applyAlignment="1">
      <alignment horizontal="left"/>
    </xf>
    <xf numFmtId="2" fontId="14" fillId="5" borderId="27" xfId="0" applyNumberFormat="1" applyFont="1" applyFill="1" applyBorder="1" applyAlignment="1">
      <alignment horizontal="center"/>
    </xf>
    <xf numFmtId="2" fontId="14" fillId="5" borderId="20" xfId="0" applyNumberFormat="1" applyFont="1" applyFill="1" applyBorder="1" applyAlignment="1">
      <alignment horizontal="center"/>
    </xf>
    <xf numFmtId="2" fontId="10" fillId="5" borderId="28" xfId="0" applyNumberFormat="1" applyFont="1" applyFill="1" applyBorder="1" applyAlignment="1">
      <alignment horizontal="left"/>
    </xf>
    <xf numFmtId="2" fontId="10" fillId="5" borderId="29" xfId="0" applyNumberFormat="1" applyFont="1" applyFill="1" applyBorder="1" applyAlignment="1">
      <alignment horizontal="left"/>
    </xf>
    <xf numFmtId="2" fontId="10" fillId="5" borderId="30" xfId="0" applyNumberFormat="1" applyFont="1" applyFill="1" applyBorder="1" applyAlignment="1">
      <alignment horizontal="left"/>
    </xf>
    <xf numFmtId="167" fontId="16" fillId="5" borderId="17" xfId="0" applyNumberFormat="1" applyFont="1" applyFill="1" applyBorder="1" applyAlignment="1">
      <alignment horizontal="left"/>
    </xf>
    <xf numFmtId="167" fontId="16" fillId="5" borderId="29" xfId="0" applyNumberFormat="1" applyFont="1" applyFill="1" applyBorder="1" applyAlignment="1">
      <alignment horizontal="left"/>
    </xf>
    <xf numFmtId="167" fontId="16" fillId="5" borderId="30" xfId="0" applyNumberFormat="1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7" fontId="15" fillId="4" borderId="11" xfId="0" applyNumberFormat="1" applyFont="1" applyFill="1" applyBorder="1" applyAlignment="1">
      <alignment horizontal="left"/>
    </xf>
    <xf numFmtId="167" fontId="15" fillId="4" borderId="2" xfId="0" applyNumberFormat="1" applyFont="1" applyFill="1" applyBorder="1" applyAlignment="1">
      <alignment horizontal="left"/>
    </xf>
    <xf numFmtId="167" fontId="15" fillId="4" borderId="13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left"/>
    </xf>
    <xf numFmtId="167" fontId="15" fillId="4" borderId="10" xfId="0" applyNumberFormat="1" applyFont="1" applyFill="1" applyBorder="1" applyAlignment="1">
      <alignment horizontal="left"/>
    </xf>
    <xf numFmtId="167" fontId="15" fillId="4" borderId="0" xfId="0" applyNumberFormat="1" applyFont="1" applyFill="1" applyBorder="1" applyAlignment="1">
      <alignment horizontal="left"/>
    </xf>
    <xf numFmtId="167" fontId="15" fillId="4" borderId="12" xfId="0" applyNumberFormat="1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167" fontId="15" fillId="4" borderId="34" xfId="0" applyNumberFormat="1" applyFont="1" applyFill="1" applyBorder="1" applyAlignment="1">
      <alignment horizontal="left"/>
    </xf>
    <xf numFmtId="167" fontId="15" fillId="4" borderId="26" xfId="0" applyNumberFormat="1" applyFont="1" applyFill="1" applyBorder="1" applyAlignment="1">
      <alignment horizontal="left"/>
    </xf>
    <xf numFmtId="167" fontId="15" fillId="4" borderId="35" xfId="0" applyNumberFormat="1" applyFont="1" applyFill="1" applyBorder="1" applyAlignment="1">
      <alignment horizontal="left"/>
    </xf>
    <xf numFmtId="165" fontId="9" fillId="12" borderId="22" xfId="0" applyNumberFormat="1" applyFont="1" applyFill="1" applyBorder="1" applyAlignment="1">
      <alignment horizontal="center"/>
    </xf>
    <xf numFmtId="20" fontId="0" fillId="12" borderId="22" xfId="0" applyNumberForma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164" fontId="24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64" fontId="9" fillId="0" borderId="0" xfId="0" applyNumberFormat="1" applyFont="1" applyAlignment="1">
      <alignment horizontal="left" vertical="center"/>
    </xf>
    <xf numFmtId="2" fontId="1" fillId="12" borderId="22" xfId="0" applyNumberFormat="1" applyFont="1" applyFill="1" applyBorder="1" applyAlignment="1">
      <alignment horizontal="center"/>
    </xf>
    <xf numFmtId="165" fontId="1" fillId="12" borderId="22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" fillId="12" borderId="22" xfId="0" applyNumberFormat="1" applyFont="1" applyFill="1" applyBorder="1" applyAlignment="1">
      <alignment horizontal="center"/>
    </xf>
    <xf numFmtId="0" fontId="0" fillId="2" borderId="34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0" fillId="0" borderId="0" xfId="0" applyNumberFormat="1"/>
    <xf numFmtId="0" fontId="1" fillId="10" borderId="39" xfId="0" applyFont="1" applyFill="1" applyBorder="1" applyAlignment="1">
      <alignment horizontal="center"/>
    </xf>
    <xf numFmtId="2" fontId="17" fillId="0" borderId="0" xfId="0" applyNumberFormat="1" applyFont="1" applyBorder="1" applyAlignment="1">
      <alignment horizontal="left"/>
    </xf>
    <xf numFmtId="2" fontId="29" fillId="12" borderId="0" xfId="0" applyNumberFormat="1" applyFont="1" applyFill="1" applyBorder="1" applyAlignment="1">
      <alignment horizontal="center" vertical="center" wrapText="1"/>
    </xf>
    <xf numFmtId="2" fontId="29" fillId="1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" fillId="13" borderId="0" xfId="0" applyFont="1" applyFill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10" fillId="6" borderId="36" xfId="0" applyFont="1" applyFill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</cellXfs>
  <cellStyles count="1">
    <cellStyle name="Normal" xfId="0" builtinId="0"/>
  </cellStyles>
  <dxfs count="866"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  <dxf>
      <fill>
        <patternFill>
          <bgColor indexed="10"/>
        </patternFill>
      </fill>
    </dxf>
    <dxf>
      <fill>
        <patternFill>
          <bgColor indexed="21"/>
        </patternFill>
      </fill>
    </dxf>
    <dxf>
      <fill>
        <patternFill>
          <bgColor indexed="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PropertyBag">
  <ax:ocxPr ax:name="VariousPropertyBits" ax:value="746604571"/>
  <ax:ocxPr ax:name="DisplayStyle" ax:value="3"/>
  <ax:ocxPr ax:name="Size" ax:value="9869;661"/>
  <ax:ocxPr ax:name="MatchEntry" ax:value="1"/>
  <ax:ocxPr ax:name="ShowDropButtonWhen" ax:value="2"/>
  <ax:ocxPr ax:name="FontName" ax:value="Arial"/>
  <ax:ocxPr ax:name="FontHeight" ax:value="240"/>
  <ax:ocxPr ax:name="FontCharSet" ax:value="0"/>
  <ax:ocxPr ax:name="FontPitchAndFamily" ax:value="2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3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4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5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6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42</xdr:row>
      <xdr:rowOff>104775</xdr:rowOff>
    </xdr:to>
    <xdr:sp macro="" textlink="">
      <xdr:nvSpPr>
        <xdr:cNvPr id="70735" name="Text Box 43"/>
        <xdr:cNvSpPr txBox="1">
          <a:spLocks noChangeArrowheads="1"/>
        </xdr:cNvSpPr>
      </xdr:nvSpPr>
      <xdr:spPr bwMode="auto">
        <a:xfrm>
          <a:off x="161925" y="6210300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476250</xdr:colOff>
      <xdr:row>4</xdr:row>
      <xdr:rowOff>28575</xdr:rowOff>
    </xdr:from>
    <xdr:to>
      <xdr:col>19</xdr:col>
      <xdr:colOff>28575</xdr:colOff>
      <xdr:row>8</xdr:row>
      <xdr:rowOff>9525</xdr:rowOff>
    </xdr:to>
    <xdr:sp macro="" textlink="">
      <xdr:nvSpPr>
        <xdr:cNvPr id="70736" name="Text Box 57"/>
        <xdr:cNvSpPr txBox="1">
          <a:spLocks noChangeArrowheads="1"/>
        </xdr:cNvSpPr>
      </xdr:nvSpPr>
      <xdr:spPr bwMode="auto">
        <a:xfrm>
          <a:off x="4333875" y="733425"/>
          <a:ext cx="57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38100</xdr:colOff>
      <xdr:row>12</xdr:row>
      <xdr:rowOff>38100</xdr:rowOff>
    </xdr:from>
    <xdr:to>
      <xdr:col>36</xdr:col>
      <xdr:colOff>0</xdr:colOff>
      <xdr:row>15</xdr:row>
      <xdr:rowOff>142875</xdr:rowOff>
    </xdr:to>
    <xdr:sp macro="" textlink="">
      <xdr:nvSpPr>
        <xdr:cNvPr id="70737" name="Text Box 61"/>
        <xdr:cNvSpPr txBox="1">
          <a:spLocks noChangeArrowheads="1"/>
        </xdr:cNvSpPr>
      </xdr:nvSpPr>
      <xdr:spPr bwMode="auto">
        <a:xfrm>
          <a:off x="8143875" y="1962150"/>
          <a:ext cx="66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33</xdr:col>
      <xdr:colOff>276225</xdr:colOff>
      <xdr:row>3</xdr:row>
      <xdr:rowOff>9525</xdr:rowOff>
    </xdr:from>
    <xdr:to>
      <xdr:col>33</xdr:col>
      <xdr:colOff>333375</xdr:colOff>
      <xdr:row>4</xdr:row>
      <xdr:rowOff>9525</xdr:rowOff>
    </xdr:to>
    <xdr:sp macro="" textlink="">
      <xdr:nvSpPr>
        <xdr:cNvPr id="70738" name="Text Box 62"/>
        <xdr:cNvSpPr txBox="1">
          <a:spLocks noChangeArrowheads="1"/>
        </xdr:cNvSpPr>
      </xdr:nvSpPr>
      <xdr:spPr bwMode="auto">
        <a:xfrm>
          <a:off x="7781925" y="561975"/>
          <a:ext cx="571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57150</xdr:colOff>
      <xdr:row>41</xdr:row>
      <xdr:rowOff>123825</xdr:rowOff>
    </xdr:to>
    <xdr:sp macro="" textlink="">
      <xdr:nvSpPr>
        <xdr:cNvPr id="70739" name="Text Box 43"/>
        <xdr:cNvSpPr txBox="1">
          <a:spLocks noChangeArrowheads="1"/>
        </xdr:cNvSpPr>
      </xdr:nvSpPr>
      <xdr:spPr bwMode="auto">
        <a:xfrm>
          <a:off x="161925" y="6210300"/>
          <a:ext cx="57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ntrol" Target="../activeX/activeX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ntrol" Target="../activeX/activeX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ntrol" Target="../activeX/activeX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ntrol" Target="../activeX/activeX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ntrol" Target="../activeX/activeX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ntrol" Target="../activeX/activeX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ntrol" Target="../activeX/activeX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ntrol" Target="../activeX/activeX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ntrol" Target="../activeX/activeX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ntrol" Target="../activeX/activeX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ntrol" Target="../activeX/activeX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/>
  <dimension ref="A2:M36"/>
  <sheetViews>
    <sheetView workbookViewId="0">
      <selection activeCell="AY29" sqref="AY29"/>
    </sheetView>
  </sheetViews>
  <sheetFormatPr baseColWidth="10" defaultRowHeight="12.75"/>
  <cols>
    <col min="1" max="1" width="9.7109375" customWidth="1"/>
  </cols>
  <sheetData>
    <row r="2" spans="1:13">
      <c r="A2" s="68" t="s">
        <v>42</v>
      </c>
      <c r="B2" s="110">
        <v>2018</v>
      </c>
      <c r="C2" s="68">
        <f>B2+1</f>
        <v>2019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>
      <c r="A3" s="68"/>
      <c r="B3" s="8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>
      <c r="A4" s="68"/>
      <c r="B4" s="68" t="s">
        <v>51</v>
      </c>
      <c r="C4" s="68" t="s">
        <v>52</v>
      </c>
      <c r="D4" s="68" t="s">
        <v>53</v>
      </c>
      <c r="E4" s="68" t="s">
        <v>54</v>
      </c>
      <c r="F4" s="85" t="s">
        <v>43</v>
      </c>
      <c r="G4" s="68" t="s">
        <v>44</v>
      </c>
      <c r="H4" s="68" t="s">
        <v>45</v>
      </c>
      <c r="I4" s="68" t="s">
        <v>46</v>
      </c>
      <c r="J4" s="68" t="s">
        <v>47</v>
      </c>
      <c r="K4" s="68" t="s">
        <v>48</v>
      </c>
      <c r="L4" s="68" t="s">
        <v>49</v>
      </c>
      <c r="M4" s="68" t="s">
        <v>50</v>
      </c>
    </row>
    <row r="5" spans="1:13">
      <c r="A5" s="68"/>
      <c r="B5" s="86">
        <f>DATE($B$2,9,1)</f>
        <v>43344</v>
      </c>
      <c r="C5" s="86">
        <f>DATE($B$2,10,1)</f>
        <v>43374</v>
      </c>
      <c r="D5" s="86">
        <f>DATE($B$2,11,1)</f>
        <v>43405</v>
      </c>
      <c r="E5" s="86">
        <f>DATE($B$2,12,1)</f>
        <v>43435</v>
      </c>
      <c r="F5" s="86">
        <f>DATE($C$2,1,1)</f>
        <v>43466</v>
      </c>
      <c r="G5" s="86">
        <f>DATE($C$2,2,1)</f>
        <v>43497</v>
      </c>
      <c r="H5" s="86">
        <f>DATE($C$2,3,1)</f>
        <v>43525</v>
      </c>
      <c r="I5" s="86">
        <f>DATE($C$2,4,1)</f>
        <v>43556</v>
      </c>
      <c r="J5" s="86">
        <f>DATE($C$2,5,1)</f>
        <v>43586</v>
      </c>
      <c r="K5" s="86">
        <f>DATE($C$2,6,1)</f>
        <v>43617</v>
      </c>
      <c r="L5" s="86">
        <f>DATE($C$2,7,1)</f>
        <v>43647</v>
      </c>
      <c r="M5" s="86">
        <f>DATE($C$2,8,1)</f>
        <v>43678</v>
      </c>
    </row>
    <row r="6" spans="1:13">
      <c r="A6" s="68"/>
      <c r="B6" s="86">
        <f>DATE($B$2,9,2)</f>
        <v>43345</v>
      </c>
      <c r="C6" s="86">
        <f>DATE($B$2,10,2)</f>
        <v>43375</v>
      </c>
      <c r="D6" s="86">
        <f>DATE($B$2,11,2)</f>
        <v>43406</v>
      </c>
      <c r="E6" s="86">
        <f>DATE($B$2,12,2)</f>
        <v>43436</v>
      </c>
      <c r="F6" s="86">
        <f>DATE($C$2,1,2)</f>
        <v>43467</v>
      </c>
      <c r="G6" s="86">
        <f>DATE($C$2,2,2)</f>
        <v>43498</v>
      </c>
      <c r="H6" s="86">
        <f>DATE($C$2,3,2)</f>
        <v>43526</v>
      </c>
      <c r="I6" s="86">
        <f>DATE($C$2,4,2)</f>
        <v>43557</v>
      </c>
      <c r="J6" s="86">
        <f>DATE($C$2,5,2)</f>
        <v>43587</v>
      </c>
      <c r="K6" s="86">
        <f>DATE($C$2,6,2)</f>
        <v>43618</v>
      </c>
      <c r="L6" s="86">
        <f>DATE($C$2,7,2)</f>
        <v>43648</v>
      </c>
      <c r="M6" s="86">
        <f>DATE($C$2,8,2)</f>
        <v>43679</v>
      </c>
    </row>
    <row r="7" spans="1:13">
      <c r="A7" s="68"/>
      <c r="B7" s="86">
        <f>DATE($B$2,9,3)</f>
        <v>43346</v>
      </c>
      <c r="C7" s="86">
        <f>DATE($B$2,10,3)</f>
        <v>43376</v>
      </c>
      <c r="D7" s="86">
        <f>DATE($B$2,11,3)</f>
        <v>43407</v>
      </c>
      <c r="E7" s="86">
        <f>DATE($B$2,12,3)</f>
        <v>43437</v>
      </c>
      <c r="F7" s="86">
        <f>DATE($C$2,1,3)</f>
        <v>43468</v>
      </c>
      <c r="G7" s="86">
        <f>DATE($C$2,2,3)</f>
        <v>43499</v>
      </c>
      <c r="H7" s="86">
        <f>DATE($C$2,3,3)</f>
        <v>43527</v>
      </c>
      <c r="I7" s="86">
        <f>DATE($C$2,4,3)</f>
        <v>43558</v>
      </c>
      <c r="J7" s="86">
        <f>DATE($C$2,5,3)</f>
        <v>43588</v>
      </c>
      <c r="K7" s="86">
        <f>DATE($C$2,6,3)</f>
        <v>43619</v>
      </c>
      <c r="L7" s="86">
        <f>DATE($C$2,7,3)</f>
        <v>43649</v>
      </c>
      <c r="M7" s="86">
        <f>DATE($C$2,8,3)</f>
        <v>43680</v>
      </c>
    </row>
    <row r="8" spans="1:13">
      <c r="A8" s="68"/>
      <c r="B8" s="86">
        <f>DATE($B$2,9,4)</f>
        <v>43347</v>
      </c>
      <c r="C8" s="86">
        <f>DATE($B$2,10,4)</f>
        <v>43377</v>
      </c>
      <c r="D8" s="86">
        <f>DATE($B$2,11,4)</f>
        <v>43408</v>
      </c>
      <c r="E8" s="86">
        <f>DATE($B$2,12,4)</f>
        <v>43438</v>
      </c>
      <c r="F8" s="86">
        <f>DATE($C$2,1,4)</f>
        <v>43469</v>
      </c>
      <c r="G8" s="86">
        <f>DATE($C$2,2,4)</f>
        <v>43500</v>
      </c>
      <c r="H8" s="86">
        <f>DATE($C$2,3,4)</f>
        <v>43528</v>
      </c>
      <c r="I8" s="86">
        <f>DATE($C$2,4,4)</f>
        <v>43559</v>
      </c>
      <c r="J8" s="86">
        <f>DATE($C$2,5,4)</f>
        <v>43589</v>
      </c>
      <c r="K8" s="86">
        <f>DATE($C$2,6,4)</f>
        <v>43620</v>
      </c>
      <c r="L8" s="86">
        <f>DATE($C$2,7,4)</f>
        <v>43650</v>
      </c>
      <c r="M8" s="86">
        <f>DATE($C$2,8,4)</f>
        <v>43681</v>
      </c>
    </row>
    <row r="9" spans="1:13">
      <c r="A9" s="68"/>
      <c r="B9" s="86">
        <f>DATE($B$2,9,5)</f>
        <v>43348</v>
      </c>
      <c r="C9" s="86">
        <f>DATE($B$2,10,5)</f>
        <v>43378</v>
      </c>
      <c r="D9" s="86">
        <f>DATE($B$2,11,5)</f>
        <v>43409</v>
      </c>
      <c r="E9" s="86">
        <f>DATE($B$2,12,5)</f>
        <v>43439</v>
      </c>
      <c r="F9" s="86">
        <f>DATE($C$2,1,5)</f>
        <v>43470</v>
      </c>
      <c r="G9" s="86">
        <f>DATE($C$2,2,5)</f>
        <v>43501</v>
      </c>
      <c r="H9" s="86">
        <f>DATE($C$2,3,5)</f>
        <v>43529</v>
      </c>
      <c r="I9" s="86">
        <f>DATE($C$2,4,5)</f>
        <v>43560</v>
      </c>
      <c r="J9" s="86">
        <f>DATE($C$2,5,5)</f>
        <v>43590</v>
      </c>
      <c r="K9" s="86">
        <f>DATE($C$2,6,5)</f>
        <v>43621</v>
      </c>
      <c r="L9" s="86">
        <f>DATE($C$2,7,5)</f>
        <v>43651</v>
      </c>
      <c r="M9" s="86">
        <f>DATE($C$2,8,5)</f>
        <v>43682</v>
      </c>
    </row>
    <row r="10" spans="1:13">
      <c r="A10" s="68"/>
      <c r="B10" s="86">
        <f>DATE($B$2,9,6)</f>
        <v>43349</v>
      </c>
      <c r="C10" s="86">
        <f>DATE($B$2,10,6)</f>
        <v>43379</v>
      </c>
      <c r="D10" s="86">
        <f>DATE($B$2,11,6)</f>
        <v>43410</v>
      </c>
      <c r="E10" s="86">
        <f>DATE($B$2,12,6)</f>
        <v>43440</v>
      </c>
      <c r="F10" s="86">
        <f>DATE($C$2,1,6)</f>
        <v>43471</v>
      </c>
      <c r="G10" s="86">
        <f>DATE($C$2,2,6)</f>
        <v>43502</v>
      </c>
      <c r="H10" s="86">
        <f>DATE($C$2,3,6)</f>
        <v>43530</v>
      </c>
      <c r="I10" s="86">
        <f>DATE($C$2,4,6)</f>
        <v>43561</v>
      </c>
      <c r="J10" s="86">
        <f>DATE($C$2,5,6)</f>
        <v>43591</v>
      </c>
      <c r="K10" s="86">
        <f>DATE($C$2,6,6)</f>
        <v>43622</v>
      </c>
      <c r="L10" s="86">
        <f>DATE($C$2,7,6)</f>
        <v>43652</v>
      </c>
      <c r="M10" s="86">
        <f>DATE($C$2,8,6)</f>
        <v>43683</v>
      </c>
    </row>
    <row r="11" spans="1:13">
      <c r="A11" s="68"/>
      <c r="B11" s="86">
        <f>DATE($B$2,9,7)</f>
        <v>43350</v>
      </c>
      <c r="C11" s="86">
        <f>DATE($B$2,10,7)</f>
        <v>43380</v>
      </c>
      <c r="D11" s="86">
        <f>DATE($B$2,11,7)</f>
        <v>43411</v>
      </c>
      <c r="E11" s="86">
        <f>DATE($B$2,12,7)</f>
        <v>43441</v>
      </c>
      <c r="F11" s="86">
        <f>DATE($C$2,1,7)</f>
        <v>43472</v>
      </c>
      <c r="G11" s="86">
        <f>DATE($C$2,2,7)</f>
        <v>43503</v>
      </c>
      <c r="H11" s="86">
        <f>DATE($C$2,3,7)</f>
        <v>43531</v>
      </c>
      <c r="I11" s="86">
        <f>DATE($C$2,4,7)</f>
        <v>43562</v>
      </c>
      <c r="J11" s="86">
        <f>DATE($C$2,5,7)</f>
        <v>43592</v>
      </c>
      <c r="K11" s="86">
        <f>DATE($C$2,6,7)</f>
        <v>43623</v>
      </c>
      <c r="L11" s="86">
        <f>DATE($C$2,7,7)</f>
        <v>43653</v>
      </c>
      <c r="M11" s="86">
        <f>DATE($C$2,8,7)</f>
        <v>43684</v>
      </c>
    </row>
    <row r="12" spans="1:13">
      <c r="A12" s="68"/>
      <c r="B12" s="86">
        <f>DATE($B$2,9,8)</f>
        <v>43351</v>
      </c>
      <c r="C12" s="86">
        <f>DATE($B$2,10,8)</f>
        <v>43381</v>
      </c>
      <c r="D12" s="86">
        <f>DATE($B$2,11,8)</f>
        <v>43412</v>
      </c>
      <c r="E12" s="86">
        <f>DATE($B$2,12,8)</f>
        <v>43442</v>
      </c>
      <c r="F12" s="86">
        <f>DATE($C$2,1,8)</f>
        <v>43473</v>
      </c>
      <c r="G12" s="86">
        <f>DATE($C$2,2,8)</f>
        <v>43504</v>
      </c>
      <c r="H12" s="86">
        <f>DATE($C$2,3,8)</f>
        <v>43532</v>
      </c>
      <c r="I12" s="86">
        <f>DATE($C$2,4,8)</f>
        <v>43563</v>
      </c>
      <c r="J12" s="86">
        <f>DATE($C$2,5,8)</f>
        <v>43593</v>
      </c>
      <c r="K12" s="86">
        <f>DATE($C$2,6,8)</f>
        <v>43624</v>
      </c>
      <c r="L12" s="86">
        <f>DATE($C$2,7,8)</f>
        <v>43654</v>
      </c>
      <c r="M12" s="86">
        <f>DATE($C$2,8,8)</f>
        <v>43685</v>
      </c>
    </row>
    <row r="13" spans="1:13">
      <c r="A13" s="68"/>
      <c r="B13" s="86">
        <f>DATE($B$2,9,9)</f>
        <v>43352</v>
      </c>
      <c r="C13" s="86">
        <f>DATE($B$2,10,9)</f>
        <v>43382</v>
      </c>
      <c r="D13" s="86">
        <f>DATE($B$2,11,9)</f>
        <v>43413</v>
      </c>
      <c r="E13" s="86">
        <f>DATE($B$2,12,9)</f>
        <v>43443</v>
      </c>
      <c r="F13" s="86">
        <f>DATE($C$2,1,9)</f>
        <v>43474</v>
      </c>
      <c r="G13" s="86">
        <f>DATE($C$2,2,9)</f>
        <v>43505</v>
      </c>
      <c r="H13" s="86">
        <f>DATE($C$2,3,9)</f>
        <v>43533</v>
      </c>
      <c r="I13" s="86">
        <f>DATE($C$2,4,9)</f>
        <v>43564</v>
      </c>
      <c r="J13" s="86">
        <f>DATE($C$2,5,9)</f>
        <v>43594</v>
      </c>
      <c r="K13" s="86">
        <f>DATE($C$2,6,9)</f>
        <v>43625</v>
      </c>
      <c r="L13" s="86">
        <f>DATE($C$2,7,9)</f>
        <v>43655</v>
      </c>
      <c r="M13" s="86">
        <f>DATE($C$2,8,9)</f>
        <v>43686</v>
      </c>
    </row>
    <row r="14" spans="1:13">
      <c r="A14" s="68"/>
      <c r="B14" s="86">
        <f>DATE($B$2,9,10)</f>
        <v>43353</v>
      </c>
      <c r="C14" s="86">
        <f>DATE($B$2,10,10)</f>
        <v>43383</v>
      </c>
      <c r="D14" s="86">
        <f>DATE($B$2,11,10)</f>
        <v>43414</v>
      </c>
      <c r="E14" s="86">
        <f>DATE($B$2,12,10)</f>
        <v>43444</v>
      </c>
      <c r="F14" s="86">
        <f>DATE($C$2,1,10)</f>
        <v>43475</v>
      </c>
      <c r="G14" s="86">
        <f>DATE($C$2,2,10)</f>
        <v>43506</v>
      </c>
      <c r="H14" s="86">
        <f>DATE($C$2,3,10)</f>
        <v>43534</v>
      </c>
      <c r="I14" s="86">
        <f>DATE($C$2,4,10)</f>
        <v>43565</v>
      </c>
      <c r="J14" s="86">
        <f>DATE($C$2,5,10)</f>
        <v>43595</v>
      </c>
      <c r="K14" s="86">
        <f>DATE($C$2,6,10)</f>
        <v>43626</v>
      </c>
      <c r="L14" s="86">
        <f>DATE($C$2,7,10)</f>
        <v>43656</v>
      </c>
      <c r="M14" s="86">
        <f>DATE($C$2,8,10)</f>
        <v>43687</v>
      </c>
    </row>
    <row r="15" spans="1:13">
      <c r="A15" s="68"/>
      <c r="B15" s="86">
        <f>DATE($B$2,9,11)</f>
        <v>43354</v>
      </c>
      <c r="C15" s="86">
        <f>DATE($B$2,10,11)</f>
        <v>43384</v>
      </c>
      <c r="D15" s="86">
        <f>DATE($B$2,11,11)</f>
        <v>43415</v>
      </c>
      <c r="E15" s="86">
        <f>DATE($B$2,12,11)</f>
        <v>43445</v>
      </c>
      <c r="F15" s="86">
        <f>DATE($C$2,1,11)</f>
        <v>43476</v>
      </c>
      <c r="G15" s="86">
        <f>DATE($C$2,2,11)</f>
        <v>43507</v>
      </c>
      <c r="H15" s="86">
        <f>DATE($C$2,3,11)</f>
        <v>43535</v>
      </c>
      <c r="I15" s="86">
        <f>DATE($C$2,4,11)</f>
        <v>43566</v>
      </c>
      <c r="J15" s="86">
        <f>DATE($C$2,5,11)</f>
        <v>43596</v>
      </c>
      <c r="K15" s="86">
        <f>DATE($C$2,6,11)</f>
        <v>43627</v>
      </c>
      <c r="L15" s="86">
        <f>DATE($C$2,7,11)</f>
        <v>43657</v>
      </c>
      <c r="M15" s="86">
        <f>DATE($C$2,8,11)</f>
        <v>43688</v>
      </c>
    </row>
    <row r="16" spans="1:13">
      <c r="A16" s="68"/>
      <c r="B16" s="86">
        <f>DATE($B$2,9,12)</f>
        <v>43355</v>
      </c>
      <c r="C16" s="86">
        <f>DATE($B$2,10,12)</f>
        <v>43385</v>
      </c>
      <c r="D16" s="86">
        <f>DATE($B$2,11,12)</f>
        <v>43416</v>
      </c>
      <c r="E16" s="86">
        <f>DATE($B$2,12,12)</f>
        <v>43446</v>
      </c>
      <c r="F16" s="86">
        <f>DATE($C$2,1,12)</f>
        <v>43477</v>
      </c>
      <c r="G16" s="86">
        <f>DATE($C$2,2,12)</f>
        <v>43508</v>
      </c>
      <c r="H16" s="86">
        <f>DATE($C$2,3,12)</f>
        <v>43536</v>
      </c>
      <c r="I16" s="86">
        <f>DATE($C$2,4,12)</f>
        <v>43567</v>
      </c>
      <c r="J16" s="86">
        <f>DATE($C$2,5,12)</f>
        <v>43597</v>
      </c>
      <c r="K16" s="86">
        <f>DATE($C$2,6,12)</f>
        <v>43628</v>
      </c>
      <c r="L16" s="86">
        <f>DATE($C$2,7,12)</f>
        <v>43658</v>
      </c>
      <c r="M16" s="86">
        <f>DATE($C$2,8,12)</f>
        <v>43689</v>
      </c>
    </row>
    <row r="17" spans="1:13">
      <c r="A17" s="68"/>
      <c r="B17" s="86">
        <f>DATE($B$2,9,13)</f>
        <v>43356</v>
      </c>
      <c r="C17" s="86">
        <f>DATE($B$2,10,13)</f>
        <v>43386</v>
      </c>
      <c r="D17" s="86">
        <f>DATE($B$2,11,13)</f>
        <v>43417</v>
      </c>
      <c r="E17" s="86">
        <f>DATE($B$2,12,13)</f>
        <v>43447</v>
      </c>
      <c r="F17" s="86">
        <f>DATE($C$2,1,13)</f>
        <v>43478</v>
      </c>
      <c r="G17" s="86">
        <f>DATE($C$2,2,13)</f>
        <v>43509</v>
      </c>
      <c r="H17" s="86">
        <f>DATE($C$2,3,13)</f>
        <v>43537</v>
      </c>
      <c r="I17" s="86">
        <f>DATE($C$2,4,13)</f>
        <v>43568</v>
      </c>
      <c r="J17" s="86">
        <f>DATE($C$2,5,13)</f>
        <v>43598</v>
      </c>
      <c r="K17" s="86">
        <f>DATE($C$2,6,13)</f>
        <v>43629</v>
      </c>
      <c r="L17" s="86">
        <f>DATE($C$2,7,13)</f>
        <v>43659</v>
      </c>
      <c r="M17" s="86">
        <f>DATE($C$2,8,13)</f>
        <v>43690</v>
      </c>
    </row>
    <row r="18" spans="1:13">
      <c r="A18" s="68"/>
      <c r="B18" s="86">
        <f>DATE($B$2,9,14)</f>
        <v>43357</v>
      </c>
      <c r="C18" s="86">
        <f>DATE($B$2,10,14)</f>
        <v>43387</v>
      </c>
      <c r="D18" s="86">
        <f>DATE($B$2,11,14)</f>
        <v>43418</v>
      </c>
      <c r="E18" s="86">
        <f>DATE($B$2,12,14)</f>
        <v>43448</v>
      </c>
      <c r="F18" s="86">
        <f>DATE($C$2,1,14)</f>
        <v>43479</v>
      </c>
      <c r="G18" s="86">
        <f>DATE($C$2,2,14)</f>
        <v>43510</v>
      </c>
      <c r="H18" s="86">
        <f>DATE($C$2,3,14)</f>
        <v>43538</v>
      </c>
      <c r="I18" s="86">
        <f>DATE($C$2,4,14)</f>
        <v>43569</v>
      </c>
      <c r="J18" s="86">
        <f>DATE($C$2,5,14)</f>
        <v>43599</v>
      </c>
      <c r="K18" s="86">
        <f>DATE($C$2,6,14)</f>
        <v>43630</v>
      </c>
      <c r="L18" s="86">
        <f>DATE($C$2,7,14)</f>
        <v>43660</v>
      </c>
      <c r="M18" s="86">
        <f>DATE($C$2,8,14)</f>
        <v>43691</v>
      </c>
    </row>
    <row r="19" spans="1:13">
      <c r="A19" s="68"/>
      <c r="B19" s="86">
        <f>DATE($B$2,9,15)</f>
        <v>43358</v>
      </c>
      <c r="C19" s="86">
        <f>DATE($B$2,10,15)</f>
        <v>43388</v>
      </c>
      <c r="D19" s="86">
        <f>DATE($B$2,11,15)</f>
        <v>43419</v>
      </c>
      <c r="E19" s="86">
        <f>DATE($B$2,12,15)</f>
        <v>43449</v>
      </c>
      <c r="F19" s="86">
        <f>DATE($C$2,1,15)</f>
        <v>43480</v>
      </c>
      <c r="G19" s="86">
        <f>DATE($C$2,2,15)</f>
        <v>43511</v>
      </c>
      <c r="H19" s="86">
        <f>DATE($C$2,3,15)</f>
        <v>43539</v>
      </c>
      <c r="I19" s="86">
        <f>DATE($C$2,4,15)</f>
        <v>43570</v>
      </c>
      <c r="J19" s="86">
        <f>DATE($C$2,5,15)</f>
        <v>43600</v>
      </c>
      <c r="K19" s="86">
        <f>DATE($C$2,6,15)</f>
        <v>43631</v>
      </c>
      <c r="L19" s="86">
        <f>DATE($C$2,7,15)</f>
        <v>43661</v>
      </c>
      <c r="M19" s="86">
        <f>DATE($C$2,8,15)</f>
        <v>43692</v>
      </c>
    </row>
    <row r="20" spans="1:13">
      <c r="A20" s="68"/>
      <c r="B20" s="86">
        <f>DATE($B$2,9,16)</f>
        <v>43359</v>
      </c>
      <c r="C20" s="86">
        <f>DATE($B$2,10,16)</f>
        <v>43389</v>
      </c>
      <c r="D20" s="86">
        <f>DATE($B$2,11,16)</f>
        <v>43420</v>
      </c>
      <c r="E20" s="86">
        <f>DATE($B$2,12,16)</f>
        <v>43450</v>
      </c>
      <c r="F20" s="86">
        <f>DATE($C$2,1,16)</f>
        <v>43481</v>
      </c>
      <c r="G20" s="86">
        <f>DATE($C$2,2,16)</f>
        <v>43512</v>
      </c>
      <c r="H20" s="86">
        <f>DATE($C$2,3,16)</f>
        <v>43540</v>
      </c>
      <c r="I20" s="86">
        <f>DATE($C$2,4,16)</f>
        <v>43571</v>
      </c>
      <c r="J20" s="86">
        <f>DATE($C$2,5,16)</f>
        <v>43601</v>
      </c>
      <c r="K20" s="86">
        <f>DATE($C$2,6,16)</f>
        <v>43632</v>
      </c>
      <c r="L20" s="86">
        <f>DATE($C$2,7,16)</f>
        <v>43662</v>
      </c>
      <c r="M20" s="86">
        <f>DATE($C$2,8,16)</f>
        <v>43693</v>
      </c>
    </row>
    <row r="21" spans="1:13">
      <c r="A21" s="68"/>
      <c r="B21" s="86">
        <f>DATE($B$2,9,17)</f>
        <v>43360</v>
      </c>
      <c r="C21" s="86">
        <f>DATE($B$2,10,17)</f>
        <v>43390</v>
      </c>
      <c r="D21" s="86">
        <f>DATE($B$2,11,17)</f>
        <v>43421</v>
      </c>
      <c r="E21" s="86">
        <f>DATE($B$2,12,17)</f>
        <v>43451</v>
      </c>
      <c r="F21" s="86">
        <f>DATE($C$2,1,17)</f>
        <v>43482</v>
      </c>
      <c r="G21" s="86">
        <f>DATE($C$2,2,17)</f>
        <v>43513</v>
      </c>
      <c r="H21" s="86">
        <f>DATE($C$2,3,17)</f>
        <v>43541</v>
      </c>
      <c r="I21" s="86">
        <f>DATE($C$2,4,17)</f>
        <v>43572</v>
      </c>
      <c r="J21" s="86">
        <f>DATE($C$2,5,17)</f>
        <v>43602</v>
      </c>
      <c r="K21" s="86">
        <f>DATE($C$2,6,17)</f>
        <v>43633</v>
      </c>
      <c r="L21" s="86">
        <f>DATE($C$2,7,17)</f>
        <v>43663</v>
      </c>
      <c r="M21" s="86">
        <f>DATE($C$2,8,17)</f>
        <v>43694</v>
      </c>
    </row>
    <row r="22" spans="1:13">
      <c r="A22" s="68"/>
      <c r="B22" s="86">
        <f>DATE($B$2,9,18)</f>
        <v>43361</v>
      </c>
      <c r="C22" s="86">
        <f>DATE($B$2,10,18)</f>
        <v>43391</v>
      </c>
      <c r="D22" s="86">
        <f>DATE($B$2,11,18)</f>
        <v>43422</v>
      </c>
      <c r="E22" s="86">
        <f>DATE($B$2,12,18)</f>
        <v>43452</v>
      </c>
      <c r="F22" s="86">
        <f>DATE($C$2,1,18)</f>
        <v>43483</v>
      </c>
      <c r="G22" s="86">
        <f>DATE($C$2,2,18)</f>
        <v>43514</v>
      </c>
      <c r="H22" s="86">
        <f>DATE($C$2,3,18)</f>
        <v>43542</v>
      </c>
      <c r="I22" s="86">
        <f>DATE($C$2,4,18)</f>
        <v>43573</v>
      </c>
      <c r="J22" s="86">
        <f>DATE($C$2,5,18)</f>
        <v>43603</v>
      </c>
      <c r="K22" s="86">
        <f>DATE($C$2,6,18)</f>
        <v>43634</v>
      </c>
      <c r="L22" s="86">
        <f>DATE($C$2,7,18)</f>
        <v>43664</v>
      </c>
      <c r="M22" s="86">
        <f>DATE($C$2,8,18)</f>
        <v>43695</v>
      </c>
    </row>
    <row r="23" spans="1:13">
      <c r="A23" s="68"/>
      <c r="B23" s="86">
        <f>DATE($B$2,9,19)</f>
        <v>43362</v>
      </c>
      <c r="C23" s="86">
        <f>DATE($B$2,10,19)</f>
        <v>43392</v>
      </c>
      <c r="D23" s="86">
        <f>DATE($B$2,11,19)</f>
        <v>43423</v>
      </c>
      <c r="E23" s="86">
        <f>DATE($B$2,12,19)</f>
        <v>43453</v>
      </c>
      <c r="F23" s="86">
        <f>DATE($C$2,1,19)</f>
        <v>43484</v>
      </c>
      <c r="G23" s="86">
        <f>DATE($C$2,2,19)</f>
        <v>43515</v>
      </c>
      <c r="H23" s="86">
        <f>DATE($C$2,3,19)</f>
        <v>43543</v>
      </c>
      <c r="I23" s="86">
        <f>DATE($C$2,4,19)</f>
        <v>43574</v>
      </c>
      <c r="J23" s="86">
        <f>DATE($C$2,5,19)</f>
        <v>43604</v>
      </c>
      <c r="K23" s="86">
        <f>DATE($C$2,6,19)</f>
        <v>43635</v>
      </c>
      <c r="L23" s="86">
        <f>DATE($C$2,7,19)</f>
        <v>43665</v>
      </c>
      <c r="M23" s="86">
        <f>DATE($C$2,8,19)</f>
        <v>43696</v>
      </c>
    </row>
    <row r="24" spans="1:13">
      <c r="A24" s="68"/>
      <c r="B24" s="86">
        <f>DATE($B$2,9,20)</f>
        <v>43363</v>
      </c>
      <c r="C24" s="86">
        <f>DATE($B$2,10,20)</f>
        <v>43393</v>
      </c>
      <c r="D24" s="86">
        <f>DATE($B$2,11,20)</f>
        <v>43424</v>
      </c>
      <c r="E24" s="86">
        <f>DATE($B$2,12,20)</f>
        <v>43454</v>
      </c>
      <c r="F24" s="86">
        <f>DATE($C$2,1,20)</f>
        <v>43485</v>
      </c>
      <c r="G24" s="86">
        <f>DATE($C$2,2,20)</f>
        <v>43516</v>
      </c>
      <c r="H24" s="86">
        <f>DATE($C$2,3,20)</f>
        <v>43544</v>
      </c>
      <c r="I24" s="86">
        <f>DATE($C$2,4,20)</f>
        <v>43575</v>
      </c>
      <c r="J24" s="86">
        <f>DATE($C$2,5,20)</f>
        <v>43605</v>
      </c>
      <c r="K24" s="86">
        <f>DATE($C$2,6,20)</f>
        <v>43636</v>
      </c>
      <c r="L24" s="86">
        <f>DATE($C$2,7,20)</f>
        <v>43666</v>
      </c>
      <c r="M24" s="86">
        <f>DATE($C$2,8,20)</f>
        <v>43697</v>
      </c>
    </row>
    <row r="25" spans="1:13">
      <c r="A25" s="68"/>
      <c r="B25" s="86">
        <f>DATE($B$2,9,21)</f>
        <v>43364</v>
      </c>
      <c r="C25" s="86">
        <f>DATE($B$2,10,21)</f>
        <v>43394</v>
      </c>
      <c r="D25" s="86">
        <f>DATE($B$2,11,21)</f>
        <v>43425</v>
      </c>
      <c r="E25" s="86">
        <f>DATE($B$2,12,21)</f>
        <v>43455</v>
      </c>
      <c r="F25" s="86">
        <f>DATE($C$2,1,21)</f>
        <v>43486</v>
      </c>
      <c r="G25" s="86">
        <f>DATE($C$2,2,21)</f>
        <v>43517</v>
      </c>
      <c r="H25" s="86">
        <f>DATE($C$2,3,21)</f>
        <v>43545</v>
      </c>
      <c r="I25" s="86">
        <f>DATE($C$2,4,21)</f>
        <v>43576</v>
      </c>
      <c r="J25" s="86">
        <f>DATE($C$2,5,21)</f>
        <v>43606</v>
      </c>
      <c r="K25" s="86">
        <f>DATE($C$2,6,21)</f>
        <v>43637</v>
      </c>
      <c r="L25" s="86">
        <f>DATE($C$2,7,21)</f>
        <v>43667</v>
      </c>
      <c r="M25" s="86">
        <f>DATE($C$2,8,21)</f>
        <v>43698</v>
      </c>
    </row>
    <row r="26" spans="1:13">
      <c r="A26" s="68"/>
      <c r="B26" s="86">
        <f>DATE($B$2,9,22)</f>
        <v>43365</v>
      </c>
      <c r="C26" s="86">
        <f>DATE($B$2,10,22)</f>
        <v>43395</v>
      </c>
      <c r="D26" s="86">
        <f>DATE($B$2,11,22)</f>
        <v>43426</v>
      </c>
      <c r="E26" s="86">
        <f>DATE($B$2,12,22)</f>
        <v>43456</v>
      </c>
      <c r="F26" s="86">
        <f>DATE($C$2,1,22)</f>
        <v>43487</v>
      </c>
      <c r="G26" s="86">
        <f>DATE($C$2,2,22)</f>
        <v>43518</v>
      </c>
      <c r="H26" s="86">
        <f>DATE($C$2,3,22)</f>
        <v>43546</v>
      </c>
      <c r="I26" s="86">
        <f>DATE($C$2,4,22)</f>
        <v>43577</v>
      </c>
      <c r="J26" s="86">
        <f>DATE($C$2,5,22)</f>
        <v>43607</v>
      </c>
      <c r="K26" s="86">
        <f>DATE($C$2,6,22)</f>
        <v>43638</v>
      </c>
      <c r="L26" s="86">
        <f>DATE($C$2,7,22)</f>
        <v>43668</v>
      </c>
      <c r="M26" s="86">
        <f>DATE($C$2,8,22)</f>
        <v>43699</v>
      </c>
    </row>
    <row r="27" spans="1:13">
      <c r="A27" s="68"/>
      <c r="B27" s="86">
        <f>DATE($B$2,9,23)</f>
        <v>43366</v>
      </c>
      <c r="C27" s="86">
        <f>DATE($B$2,10,23)</f>
        <v>43396</v>
      </c>
      <c r="D27" s="86">
        <f>DATE($B$2,11,23)</f>
        <v>43427</v>
      </c>
      <c r="E27" s="86">
        <f>DATE($B$2,12,23)</f>
        <v>43457</v>
      </c>
      <c r="F27" s="86">
        <f>DATE($C$2,1,23)</f>
        <v>43488</v>
      </c>
      <c r="G27" s="86">
        <f>DATE($C$2,2,23)</f>
        <v>43519</v>
      </c>
      <c r="H27" s="86">
        <f>DATE($C$2,3,23)</f>
        <v>43547</v>
      </c>
      <c r="I27" s="86">
        <f>DATE($C$2,4,23)</f>
        <v>43578</v>
      </c>
      <c r="J27" s="86">
        <f>DATE($C$2,5,23)</f>
        <v>43608</v>
      </c>
      <c r="K27" s="86">
        <f>DATE($C$2,6,23)</f>
        <v>43639</v>
      </c>
      <c r="L27" s="86">
        <f>DATE($C$2,7,23)</f>
        <v>43669</v>
      </c>
      <c r="M27" s="86">
        <f>DATE($C$2,8,23)</f>
        <v>43700</v>
      </c>
    </row>
    <row r="28" spans="1:13">
      <c r="A28" s="68"/>
      <c r="B28" s="86">
        <f>DATE($B$2,9,24)</f>
        <v>43367</v>
      </c>
      <c r="C28" s="86">
        <f>DATE($B$2,10,24)</f>
        <v>43397</v>
      </c>
      <c r="D28" s="86">
        <f>DATE($B$2,11,24)</f>
        <v>43428</v>
      </c>
      <c r="E28" s="86">
        <f>DATE($B$2,12,24)</f>
        <v>43458</v>
      </c>
      <c r="F28" s="86">
        <f>DATE($C$2,1,24)</f>
        <v>43489</v>
      </c>
      <c r="G28" s="86">
        <f>DATE($C$2,2,24)</f>
        <v>43520</v>
      </c>
      <c r="H28" s="86">
        <f>DATE($C$2,3,24)</f>
        <v>43548</v>
      </c>
      <c r="I28" s="86">
        <f>DATE($C$2,4,24)</f>
        <v>43579</v>
      </c>
      <c r="J28" s="86">
        <f>DATE($C$2,5,24)</f>
        <v>43609</v>
      </c>
      <c r="K28" s="86">
        <f>DATE($C$2,6,24)</f>
        <v>43640</v>
      </c>
      <c r="L28" s="86">
        <f>DATE($C$2,7,24)</f>
        <v>43670</v>
      </c>
      <c r="M28" s="86">
        <f>DATE($C$2,8,24)</f>
        <v>43701</v>
      </c>
    </row>
    <row r="29" spans="1:13">
      <c r="A29" s="68"/>
      <c r="B29" s="86">
        <f>DATE($B$2,9,25)</f>
        <v>43368</v>
      </c>
      <c r="C29" s="86">
        <f>DATE($B$2,10,25)</f>
        <v>43398</v>
      </c>
      <c r="D29" s="86">
        <f>DATE($B$2,11,25)</f>
        <v>43429</v>
      </c>
      <c r="E29" s="86">
        <f>DATE($B$2,12,25)</f>
        <v>43459</v>
      </c>
      <c r="F29" s="86">
        <f>DATE($C$2,1,25)</f>
        <v>43490</v>
      </c>
      <c r="G29" s="86">
        <f>DATE($C$2,2,25)</f>
        <v>43521</v>
      </c>
      <c r="H29" s="86">
        <f>DATE($C$2,3,25)</f>
        <v>43549</v>
      </c>
      <c r="I29" s="86">
        <f>DATE($C$2,4,25)</f>
        <v>43580</v>
      </c>
      <c r="J29" s="86">
        <f>DATE($C$2,5,25)</f>
        <v>43610</v>
      </c>
      <c r="K29" s="86">
        <f>DATE($C$2,6,25)</f>
        <v>43641</v>
      </c>
      <c r="L29" s="86">
        <f>DATE($C$2,7,25)</f>
        <v>43671</v>
      </c>
      <c r="M29" s="86">
        <f>DATE($C$2,8,25)</f>
        <v>43702</v>
      </c>
    </row>
    <row r="30" spans="1:13">
      <c r="A30" s="68"/>
      <c r="B30" s="86">
        <f>DATE($B$2,9,26)</f>
        <v>43369</v>
      </c>
      <c r="C30" s="86">
        <f>DATE($B$2,10,26)</f>
        <v>43399</v>
      </c>
      <c r="D30" s="86">
        <f>DATE($B$2,11,26)</f>
        <v>43430</v>
      </c>
      <c r="E30" s="86">
        <f>DATE($B$2,12,26)</f>
        <v>43460</v>
      </c>
      <c r="F30" s="86">
        <f>DATE($C$2,1,26)</f>
        <v>43491</v>
      </c>
      <c r="G30" s="86">
        <f>DATE($C$2,2,26)</f>
        <v>43522</v>
      </c>
      <c r="H30" s="86">
        <f>DATE($C$2,3,26)</f>
        <v>43550</v>
      </c>
      <c r="I30" s="86">
        <f>DATE($C$2,4,26)</f>
        <v>43581</v>
      </c>
      <c r="J30" s="86">
        <f>DATE($C$2,5,26)</f>
        <v>43611</v>
      </c>
      <c r="K30" s="86">
        <f>DATE($C$2,6,26)</f>
        <v>43642</v>
      </c>
      <c r="L30" s="86">
        <f>DATE($C$2,7,26)</f>
        <v>43672</v>
      </c>
      <c r="M30" s="86">
        <f>DATE($C$2,8,26)</f>
        <v>43703</v>
      </c>
    </row>
    <row r="31" spans="1:13">
      <c r="A31" s="68"/>
      <c r="B31" s="86">
        <f>DATE($B$2,9,27)</f>
        <v>43370</v>
      </c>
      <c r="C31" s="86">
        <f>DATE($B$2,10,27)</f>
        <v>43400</v>
      </c>
      <c r="D31" s="86">
        <f>DATE($B$2,11,27)</f>
        <v>43431</v>
      </c>
      <c r="E31" s="86">
        <f>DATE($B$2,12,27)</f>
        <v>43461</v>
      </c>
      <c r="F31" s="86">
        <f>DATE($C$2,1,27)</f>
        <v>43492</v>
      </c>
      <c r="G31" s="86">
        <f>DATE($C$2,2,27)</f>
        <v>43523</v>
      </c>
      <c r="H31" s="86">
        <f>DATE($C$2,3,27)</f>
        <v>43551</v>
      </c>
      <c r="I31" s="86">
        <f>DATE($C$2,4,27)</f>
        <v>43582</v>
      </c>
      <c r="J31" s="86">
        <f>DATE($C$2,5,27)</f>
        <v>43612</v>
      </c>
      <c r="K31" s="86">
        <f>DATE($C$2,6,27)</f>
        <v>43643</v>
      </c>
      <c r="L31" s="86">
        <f>DATE($C$2,7,27)</f>
        <v>43673</v>
      </c>
      <c r="M31" s="86">
        <f>DATE($C$2,8,27)</f>
        <v>43704</v>
      </c>
    </row>
    <row r="32" spans="1:13">
      <c r="A32" s="68"/>
      <c r="B32" s="86">
        <f>DATE($B$2,9,28)</f>
        <v>43371</v>
      </c>
      <c r="C32" s="86">
        <f>DATE($B$2,10,28)</f>
        <v>43401</v>
      </c>
      <c r="D32" s="86">
        <f>DATE($B$2,11,28)</f>
        <v>43432</v>
      </c>
      <c r="E32" s="86">
        <f>DATE($B$2,12,28)</f>
        <v>43462</v>
      </c>
      <c r="F32" s="86">
        <f>DATE($C$2,1,28)</f>
        <v>43493</v>
      </c>
      <c r="G32" s="86">
        <f>DATE($C$2,2,28)</f>
        <v>43524</v>
      </c>
      <c r="H32" s="86">
        <f>DATE($C$2,3,28)</f>
        <v>43552</v>
      </c>
      <c r="I32" s="86">
        <f>DATE($C$2,4,28)</f>
        <v>43583</v>
      </c>
      <c r="J32" s="86">
        <f>DATE($C$2,5,28)</f>
        <v>43613</v>
      </c>
      <c r="K32" s="86">
        <f>DATE($C$2,6,28)</f>
        <v>43644</v>
      </c>
      <c r="L32" s="86">
        <f>DATE($C$2,7,28)</f>
        <v>43674</v>
      </c>
      <c r="M32" s="86">
        <f>DATE($C$2,8,28)</f>
        <v>43705</v>
      </c>
    </row>
    <row r="33" spans="1:13">
      <c r="A33" s="68"/>
      <c r="B33" s="86">
        <f>DATE($B$2,9,29)</f>
        <v>43372</v>
      </c>
      <c r="C33" s="86">
        <f>DATE($B$2,10,29)</f>
        <v>43402</v>
      </c>
      <c r="D33" s="86">
        <f>DATE($B$2,11,29)</f>
        <v>43433</v>
      </c>
      <c r="E33" s="86">
        <f>DATE($B$2,12,29)</f>
        <v>43463</v>
      </c>
      <c r="F33" s="86">
        <f>DATE($C$2,1,29)</f>
        <v>43494</v>
      </c>
      <c r="G33" s="86" t="str">
        <f>IF(DAY(DATE($C$2,2,29))=29,DATE($C$2,2,29),"")</f>
        <v/>
      </c>
      <c r="H33" s="86">
        <f>DATE($C$2,3,29)</f>
        <v>43553</v>
      </c>
      <c r="I33" s="86">
        <f>DATE($C$2,4,29)</f>
        <v>43584</v>
      </c>
      <c r="J33" s="86">
        <f>DATE($C$2,5,29)</f>
        <v>43614</v>
      </c>
      <c r="K33" s="86">
        <f>DATE($C$2,6,29)</f>
        <v>43645</v>
      </c>
      <c r="L33" s="86">
        <f>DATE($C$2,7,29)</f>
        <v>43675</v>
      </c>
      <c r="M33" s="86">
        <f>DATE($C$2,8,29)</f>
        <v>43706</v>
      </c>
    </row>
    <row r="34" spans="1:13">
      <c r="A34" s="68"/>
      <c r="B34" s="86">
        <f>DATE($B$2,9,30)</f>
        <v>43373</v>
      </c>
      <c r="C34" s="86">
        <f>DATE($B$2,10,30)</f>
        <v>43403</v>
      </c>
      <c r="D34" s="86">
        <f>DATE($B$2,11,30)</f>
        <v>43434</v>
      </c>
      <c r="E34" s="86">
        <f>DATE($B$2,12,30)</f>
        <v>43464</v>
      </c>
      <c r="F34" s="86">
        <f>DATE($C$2,1,30)</f>
        <v>43495</v>
      </c>
      <c r="G34" s="86"/>
      <c r="H34" s="86">
        <f>DATE($C$2,3,30)</f>
        <v>43554</v>
      </c>
      <c r="I34" s="86">
        <f>DATE($C$2,4,30)</f>
        <v>43585</v>
      </c>
      <c r="J34" s="86">
        <f>DATE($C$2,5,30)</f>
        <v>43615</v>
      </c>
      <c r="K34" s="86">
        <f>DATE($C$2,6,30)</f>
        <v>43646</v>
      </c>
      <c r="L34" s="86">
        <f>DATE($C$2,7,30)</f>
        <v>43676</v>
      </c>
      <c r="M34" s="86">
        <f>DATE($C$2,8,30)</f>
        <v>43707</v>
      </c>
    </row>
    <row r="35" spans="1:13">
      <c r="A35" s="68"/>
      <c r="B35" s="86"/>
      <c r="C35" s="86">
        <f>DATE($B$2,10,31)</f>
        <v>43404</v>
      </c>
      <c r="D35" s="86"/>
      <c r="E35" s="86">
        <f>DATE($B$2,12,31)</f>
        <v>43465</v>
      </c>
      <c r="F35" s="86">
        <f>DATE($C$2,1,31)</f>
        <v>43496</v>
      </c>
      <c r="G35" s="86"/>
      <c r="H35" s="86">
        <f>DATE($C$2,3,31)</f>
        <v>43555</v>
      </c>
      <c r="I35" s="86"/>
      <c r="J35" s="86">
        <f>DATE($C$2,5,31)</f>
        <v>43616</v>
      </c>
      <c r="K35" s="86"/>
      <c r="L35" s="86">
        <f>DATE($C$2,7,31)</f>
        <v>43677</v>
      </c>
      <c r="M35" s="86">
        <f>DATE($C$2,8,31)</f>
        <v>43708</v>
      </c>
    </row>
    <row r="36" spans="1:13">
      <c r="B36" s="86"/>
    </row>
  </sheetData>
  <phoneticPr fontId="13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3">
    <tabColor rgb="FFFF0000"/>
    <pageSetUpPr fitToPage="1"/>
  </sheetPr>
  <dimension ref="B1:BA74"/>
  <sheetViews>
    <sheetView showGridLines="0" tabSelected="1" zoomScaleNormal="115" workbookViewId="0">
      <selection activeCell="AF43" sqref="AF43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0.45833333333333337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0.45833333333333337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0.45833333333333337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0.45833333333333337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0.45833333333333337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0.45833333333333331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0.45833333333333331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0.16666666666666669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0.45833333333333331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0.45833333333333337</v>
      </c>
      <c r="E7" s="33">
        <v>3</v>
      </c>
      <c r="F7" s="87" t="str">
        <f>CHOOSE(WEEKDAY(Calendrier!C7,2),"L","Ma","Me","J","V","S","D")</f>
        <v>Me</v>
      </c>
      <c r="G7" s="65">
        <f t="shared" si="0"/>
        <v>0.20833333333333337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0.45833333333333337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0.20833333333333337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0.45833333333333337</v>
      </c>
      <c r="AC7" s="33">
        <v>3</v>
      </c>
      <c r="AD7" s="87" t="str">
        <f>CHOOSE(WEEKDAY(Calendrier!K7,2),"L","Ma","Me","J","V","S","D")</f>
        <v>L</v>
      </c>
      <c r="AE7" s="100">
        <f t="shared" si="5"/>
        <v>0.45833333333333337</v>
      </c>
      <c r="AF7" s="33">
        <v>3</v>
      </c>
      <c r="AG7" s="87" t="str">
        <f>CHOOSE(WEEKDAY(Calendrier!L7,2),"L","Ma","Me","J","V","S","D")</f>
        <v>Me</v>
      </c>
      <c r="AH7" s="65">
        <f t="shared" si="6"/>
        <v>0.20833333333333337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0.45833333333333331</v>
      </c>
      <c r="E8" s="33">
        <v>4</v>
      </c>
      <c r="F8" s="87" t="str">
        <f>CHOOSE(WEEKDAY(Calendrier!C8,2),"L","Ma","Me","J","V","S","D")</f>
        <v>J</v>
      </c>
      <c r="G8" s="65">
        <v>0.33333333333333331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0.45833333333333331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0.45833333333333337</v>
      </c>
      <c r="T8" s="33">
        <v>4</v>
      </c>
      <c r="U8" s="87" t="str">
        <f>CHOOSE(WEEKDAY(Calendrier!H8,2),"L","Ma","Me","J","V","S","D")</f>
        <v>L</v>
      </c>
      <c r="V8" s="100">
        <f t="shared" si="3"/>
        <v>0.45833333333333337</v>
      </c>
      <c r="W8" s="33">
        <v>4</v>
      </c>
      <c r="X8" s="87" t="str">
        <f>CHOOSE(WEEKDAY(Calendrier!I8,2),"L","Ma","Me","J","V","S","D")</f>
        <v>J</v>
      </c>
      <c r="Y8" s="65">
        <f t="shared" si="4"/>
        <v>0.16666666666666669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0.45833333333333331</v>
      </c>
      <c r="AF8" s="33">
        <v>4</v>
      </c>
      <c r="AG8" s="87" t="str">
        <f>CHOOSE(WEEKDAY(Calendrier!L8,2),"L","Ma","Me","J","V","S","D")</f>
        <v>J</v>
      </c>
      <c r="AH8" s="65">
        <f t="shared" si="6"/>
        <v>0.16666666666666669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0.20833333333333337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0.45833333333333337</v>
      </c>
      <c r="H9" s="33">
        <v>5</v>
      </c>
      <c r="I9" s="87" t="str">
        <f>CHOOSE(WEEKDAY(Calendrier!D9,2),"L","Ma","Me","J","V","S","D")</f>
        <v>L</v>
      </c>
      <c r="J9" s="100">
        <f t="shared" si="11"/>
        <v>0.45833333333333337</v>
      </c>
      <c r="K9" s="33">
        <v>5</v>
      </c>
      <c r="L9" s="87" t="str">
        <f>CHOOSE(WEEKDAY(Calendrier!E9,2),"L","Ma","Me","J","V","S","D")</f>
        <v>Me</v>
      </c>
      <c r="M9" s="65">
        <f t="shared" si="1"/>
        <v>0.20833333333333337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0.45833333333333331</v>
      </c>
      <c r="T9" s="33">
        <v>5</v>
      </c>
      <c r="U9" s="87" t="str">
        <f>CHOOSE(WEEKDAY(Calendrier!H9,2),"L","Ma","Me","J","V","S","D")</f>
        <v>Ma</v>
      </c>
      <c r="V9" s="100">
        <f t="shared" si="3"/>
        <v>0.45833333333333331</v>
      </c>
      <c r="W9" s="33">
        <v>5</v>
      </c>
      <c r="X9" s="87" t="str">
        <f>CHOOSE(WEEKDAY(Calendrier!I9,2),"L","Ma","Me","J","V","S","D")</f>
        <v>V</v>
      </c>
      <c r="Y9" s="65">
        <f t="shared" si="4"/>
        <v>0.45833333333333337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0.20833333333333337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0.16666666666666669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0.45833333333333331</v>
      </c>
      <c r="K10" s="33">
        <v>6</v>
      </c>
      <c r="L10" s="87" t="str">
        <f>CHOOSE(WEEKDAY(Calendrier!E10,2),"L","Ma","Me","J","V","S","D")</f>
        <v>J</v>
      </c>
      <c r="M10" s="65">
        <f t="shared" si="1"/>
        <v>0.16666666666666669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0.20833333333333337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0.20833333333333337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0.45833333333333337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0.16666666666666669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0.45833333333333337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0.20833333333333337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0.45833333333333337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0.45833333333333337</v>
      </c>
      <c r="Q11" s="33">
        <v>7</v>
      </c>
      <c r="R11" s="87" t="str">
        <f>CHOOSE(WEEKDAY(Calendrier!G11,2),"L","Ma","Me","J","V","S","D")</f>
        <v>J</v>
      </c>
      <c r="S11" s="65">
        <f t="shared" si="2"/>
        <v>0.16666666666666669</v>
      </c>
      <c r="T11" s="33">
        <v>7</v>
      </c>
      <c r="U11" s="87" t="str">
        <f>CHOOSE(WEEKDAY(Calendrier!H11,2),"L","Ma","Me","J","V","S","D")</f>
        <v>J</v>
      </c>
      <c r="V11" s="65">
        <f t="shared" si="3"/>
        <v>0.16666666666666669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0.45833333333333331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0.45833333333333337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0.45833333333333337</v>
      </c>
      <c r="H12" s="33">
        <v>8</v>
      </c>
      <c r="I12" s="87" t="str">
        <f>CHOOSE(WEEKDAY(Calendrier!D12,2),"L","Ma","Me","J","V","S","D")</f>
        <v>J</v>
      </c>
      <c r="J12" s="65">
        <v>0.41666666666666669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0.45833333333333331</v>
      </c>
      <c r="Q12" s="33">
        <v>8</v>
      </c>
      <c r="R12" s="87" t="str">
        <f>CHOOSE(WEEKDAY(Calendrier!G12,2),"L","Ma","Me","J","V","S","D")</f>
        <v>V</v>
      </c>
      <c r="S12" s="65">
        <f t="shared" si="2"/>
        <v>0.45833333333333337</v>
      </c>
      <c r="T12" s="33">
        <v>8</v>
      </c>
      <c r="U12" s="87" t="str">
        <f>CHOOSE(WEEKDAY(Calendrier!H12,2),"L","Ma","Me","J","V","S","D")</f>
        <v>V</v>
      </c>
      <c r="V12" s="65">
        <f t="shared" si="3"/>
        <v>0.45833333333333337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0.45833333333333331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0.45833333333333337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0.20833333333333337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0.16666666666666669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0.45833333333333337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0.20833333333333337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0.45833333333333337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0.16666666666666669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0.45833333333333337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0.45833333333333331</v>
      </c>
      <c r="E15" s="33">
        <v>11</v>
      </c>
      <c r="F15" s="87" t="str">
        <f>CHOOSE(WEEKDAY(Calendrier!C15,2),"L","Ma","Me","J","V","S","D")</f>
        <v>J</v>
      </c>
      <c r="G15" s="65">
        <v>0.58333333333333337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0.45833333333333331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0.45833333333333337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0.45833333333333337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0.45833333333333331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0.20833333333333337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0.45833333333333337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0.45833333333333337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0.20833333333333337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0.45833333333333331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0.20833333333333337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0.16666666666666669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0.45833333333333331</v>
      </c>
      <c r="K17" s="33">
        <v>13</v>
      </c>
      <c r="L17" s="87" t="str">
        <f>CHOOSE(WEEKDAY(Calendrier!E17,2),"L","Ma","Me","J","V","S","D")</f>
        <v>J</v>
      </c>
      <c r="M17" s="65">
        <f t="shared" si="1"/>
        <v>0.16666666666666669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0.20833333333333337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0.45833333333333337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0.16666666666666669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0.45833333333333337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0.20833333333333337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0.45833333333333337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0.45833333333333337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0.16666666666666669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0.45833333333333331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0.45833333333333337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0.45833333333333337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0.16666666666666669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0.45833333333333331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0.45833333333333337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0.20833333333333337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0.45833333333333331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0.45833333333333337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0.20833333333333337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0.16666666666666669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0.45833333333333337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0.20833333333333337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0.45833333333333337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0.16666666666666669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0.45833333333333337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0.45833333333333337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0.45833333333333331</v>
      </c>
      <c r="E22" s="33">
        <v>18</v>
      </c>
      <c r="F22" s="87" t="str">
        <f>CHOOSE(WEEKDAY(Calendrier!C22,2),"L","Ma","Me","J","V","S","D")</f>
        <v>J</v>
      </c>
      <c r="G22" s="65">
        <f t="shared" si="0"/>
        <v>0.16666666666666669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0.45833333333333331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0.45833333333333337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0.45833333333333337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0.45833333333333331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0.20833333333333337</v>
      </c>
      <c r="E23" s="33">
        <v>19</v>
      </c>
      <c r="F23" s="87" t="str">
        <f>CHOOSE(WEEKDAY(Calendrier!C23,2),"L","Ma","Me","J","V","S","D")</f>
        <v>V</v>
      </c>
      <c r="G23" s="65">
        <v>0.5625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0.45833333333333337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0.20833333333333337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0.45833333333333331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0.20833333333333337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0.16666666666666669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0.45833333333333331</v>
      </c>
      <c r="K24" s="33">
        <v>20</v>
      </c>
      <c r="L24" s="87" t="str">
        <f>CHOOSE(WEEKDAY(Calendrier!E24,2),"L","Ma","Me","J","V","S","D")</f>
        <v>J</v>
      </c>
      <c r="M24" s="65">
        <f t="shared" si="1"/>
        <v>0.16666666666666669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0.20833333333333337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0.45833333333333337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0.16666666666666669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0.45833333333333337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0.20833333333333337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0.45833333333333337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0.45833333333333337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0.16666666666666669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0.45833333333333331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0.45833333333333337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0.16666666666666669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0.45833333333333331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0.45833333333333337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0.20833333333333337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0.45833333333333337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0.20833333333333337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0.45833333333333331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0.16666666666666669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0.45833333333333337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0.16666666666666669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0.20833333333333337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0.45833333333333337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0.45833333333333337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0.45833333333333331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0.45833333333333337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0.45833333333333337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0.45833333333333337</v>
      </c>
      <c r="W29" s="33">
        <v>25</v>
      </c>
      <c r="X29" s="87" t="str">
        <f>CHOOSE(WEEKDAY(Calendrier!I29,2),"L","Ma","Me","J","V","S","D")</f>
        <v>J</v>
      </c>
      <c r="Y29" s="65">
        <f t="shared" si="4"/>
        <v>0.16666666666666669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0.45833333333333331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0.20833333333333337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0.45833333333333337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0.45833333333333331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0.45833333333333331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0.45833333333333337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0.20833333333333337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0.16666666666666669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0.45833333333333331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0.20833333333333337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0.20833333333333337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0.45833333333333337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0.16666666666666669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0.45833333333333337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0.20833333333333337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0.45833333333333337</v>
      </c>
      <c r="Q32" s="33">
        <v>28</v>
      </c>
      <c r="R32" s="87" t="str">
        <f>CHOOSE(WEEKDAY(Calendrier!G32,2),"L","Ma","Me","J","V","S","D")</f>
        <v>J</v>
      </c>
      <c r="S32" s="65">
        <f t="shared" si="2"/>
        <v>0.16666666666666669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0.16666666666666669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0.45833333333333331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0.16666666666666669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0.45833333333333331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0.45833333333333337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0.45833333333333337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0.20833333333333337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0.45833333333333337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0.20833333333333337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0.45833333333333331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0.16666666666666669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0.45833333333333337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6.9999999999999991</v>
      </c>
      <c r="E36" s="39"/>
      <c r="F36" s="31"/>
      <c r="G36" s="37">
        <f>SUM(G5:G35)</f>
        <v>6.1875</v>
      </c>
      <c r="H36" s="40"/>
      <c r="I36" s="28"/>
      <c r="J36" s="38">
        <f>SUM(J5:J35)</f>
        <v>7.2499999999999991</v>
      </c>
      <c r="K36" s="39"/>
      <c r="L36" s="31"/>
      <c r="M36" s="38">
        <f>SUM(M5:M35)</f>
        <v>5.25</v>
      </c>
      <c r="N36" s="39"/>
      <c r="O36" s="32"/>
      <c r="P36" s="38">
        <f>SUM(P5:P35)</f>
        <v>6.5416666666666661</v>
      </c>
      <c r="Q36" s="41"/>
      <c r="R36" s="29"/>
      <c r="S36" s="38">
        <f>SUM(S5:S35)</f>
        <v>3.5000000000000004</v>
      </c>
      <c r="T36" s="39"/>
      <c r="U36" s="32"/>
      <c r="V36" s="38">
        <f>SUM(V5:V35)</f>
        <v>7.4583333333333321</v>
      </c>
      <c r="W36" s="39"/>
      <c r="X36" s="32"/>
      <c r="Y36" s="38">
        <f>SUM(Y5:Y34)</f>
        <v>3.9583333333333339</v>
      </c>
      <c r="Z36" s="39"/>
      <c r="AA36" s="32"/>
      <c r="AB36" s="38">
        <f>SUM(AB5:AB35)</f>
        <v>7.2499999999999991</v>
      </c>
      <c r="AC36" s="39"/>
      <c r="AD36" s="32"/>
      <c r="AE36" s="38">
        <f>SUM(AE7:AE34)</f>
        <v>6.458333333333333</v>
      </c>
      <c r="AF36" s="39"/>
      <c r="AG36" s="31"/>
      <c r="AH36" s="38">
        <f>SUM(AH5:AH34)</f>
        <v>1.6666666666666667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62.520833333333336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0.3125</v>
      </c>
      <c r="E42" s="199" t="s">
        <v>13</v>
      </c>
      <c r="F42" s="200"/>
      <c r="G42" s="81">
        <v>0.30208333333333331</v>
      </c>
      <c r="H42" s="199" t="s">
        <v>14</v>
      </c>
      <c r="I42" s="200"/>
      <c r="J42" s="81">
        <v>0.72916666666666663</v>
      </c>
      <c r="K42" s="199" t="s">
        <v>15</v>
      </c>
      <c r="L42" s="200"/>
      <c r="M42" s="81">
        <v>8.3333333333333329E-2</v>
      </c>
      <c r="N42" s="199" t="s">
        <v>16</v>
      </c>
      <c r="O42" s="200"/>
      <c r="P42" s="81">
        <v>0.3125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0.77083333333333337</v>
      </c>
      <c r="E43" s="201"/>
      <c r="F43" s="202"/>
      <c r="G43" s="81">
        <v>0.76041666666666663</v>
      </c>
      <c r="H43" s="201"/>
      <c r="I43" s="202"/>
      <c r="J43" s="81">
        <v>0.9375</v>
      </c>
      <c r="K43" s="201"/>
      <c r="L43" s="202"/>
      <c r="M43" s="81">
        <v>0.20833333333333334</v>
      </c>
      <c r="N43" s="201"/>
      <c r="O43" s="202"/>
      <c r="P43" s="81">
        <v>0.77083333333333337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>
        <v>0.27083333333333331</v>
      </c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64.625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>
        <v>0.3125</v>
      </c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0.45833333333333337</v>
      </c>
      <c r="E46" s="203"/>
      <c r="F46" s="204"/>
      <c r="G46" s="82">
        <f>(G43-G42)+(G45-G44)</f>
        <v>0.45833333333333331</v>
      </c>
      <c r="H46" s="203"/>
      <c r="I46" s="204"/>
      <c r="J46" s="82">
        <f>(J43-J42)+(J45-J44)</f>
        <v>0.20833333333333337</v>
      </c>
      <c r="K46" s="203"/>
      <c r="L46" s="204"/>
      <c r="M46" s="82">
        <f>(M43-M42)+(M45-M44)</f>
        <v>0.16666666666666669</v>
      </c>
      <c r="N46" s="203"/>
      <c r="O46" s="204"/>
      <c r="P46" s="82">
        <f>(P43-P42)+(P45-P44)</f>
        <v>0.45833333333333337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62.520833333333336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0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2.1041666666666643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-2.1041666666666643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0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2.1041666666666643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865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864" priority="54" stopIfTrue="1">
      <formula>IF(C5="S",TRUE,IF(C5="D",TRUE,FALSE))</formula>
    </cfRule>
  </conditionalFormatting>
  <conditionalFormatting sqref="AB49:AK49 AB53:AK53">
    <cfRule type="expression" dxfId="863" priority="53" stopIfTrue="1">
      <formula xml:space="preserve"> IF($G$38=100,IF($P$47&lt;$AI49,TRUE,FALSE),FALSE)</formula>
    </cfRule>
  </conditionalFormatting>
  <conditionalFormatting sqref="R34">
    <cfRule type="cellIs" dxfId="862" priority="51" stopIfTrue="1" operator="equal">
      <formula>"S"</formula>
    </cfRule>
    <cfRule type="cellIs" dxfId="861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860" priority="50" stopIfTrue="1">
      <formula>IF(C5="S",TRUE,IF(C5="D",TRUE,FALSE))</formula>
    </cfRule>
  </conditionalFormatting>
  <conditionalFormatting sqref="P47">
    <cfRule type="cellIs" dxfId="859" priority="48" stopIfTrue="1" operator="lessThan">
      <formula>1.33333333333333</formula>
    </cfRule>
    <cfRule type="cellIs" dxfId="858" priority="49" stopIfTrue="1" operator="greaterThan">
      <formula>1.83333333333333</formula>
    </cfRule>
  </conditionalFormatting>
  <conditionalFormatting sqref="E26:E27">
    <cfRule type="expression" dxfId="857" priority="47" stopIfTrue="1">
      <formula>IF(F26="S",TRUE, IF(F26="D", TRUE,FALSE))</formula>
    </cfRule>
  </conditionalFormatting>
  <conditionalFormatting sqref="E33:E34">
    <cfRule type="expression" dxfId="856" priority="46" stopIfTrue="1">
      <formula>IF(F33="S",TRUE, IF(F33="D", TRUE,FALSE))</formula>
    </cfRule>
  </conditionalFormatting>
  <conditionalFormatting sqref="H13">
    <cfRule type="expression" dxfId="855" priority="45" stopIfTrue="1">
      <formula>IF(I13="S",TRUE, IF(I13="D", TRUE,FALSE))</formula>
    </cfRule>
  </conditionalFormatting>
  <conditionalFormatting sqref="N8">
    <cfRule type="expression" dxfId="854" priority="44" stopIfTrue="1">
      <formula>IF(O8="S",TRUE, IF(O8="D", TRUE,FALSE))</formula>
    </cfRule>
  </conditionalFormatting>
  <conditionalFormatting sqref="K34:K35 K26:K28">
    <cfRule type="expression" dxfId="853" priority="43" stopIfTrue="1">
      <formula>IF(L26="S",TRUE, IF(L26="D", TRUE,FALSE))</formula>
    </cfRule>
  </conditionalFormatting>
  <conditionalFormatting sqref="T5:T8">
    <cfRule type="expression" dxfId="852" priority="42" stopIfTrue="1">
      <formula>IF(U5="S",TRUE, IF(U5="D", TRUE,FALSE))</formula>
    </cfRule>
  </conditionalFormatting>
  <conditionalFormatting sqref="Q26:Q30">
    <cfRule type="expression" dxfId="851" priority="41" stopIfTrue="1">
      <formula>IF(R26="S",TRUE, IF(R26="D", TRUE,FALSE))</formula>
    </cfRule>
  </conditionalFormatting>
  <conditionalFormatting sqref="Z20">
    <cfRule type="expression" dxfId="850" priority="40" stopIfTrue="1">
      <formula>IF(AA20="S",TRUE, IF(AA20="D", TRUE,FALSE))</formula>
    </cfRule>
  </conditionalFormatting>
  <conditionalFormatting sqref="W23">
    <cfRule type="expression" dxfId="849" priority="39" stopIfTrue="1">
      <formula>IF(X23="S",TRUE, IF(X23="D", TRUE,FALSE))</formula>
    </cfRule>
  </conditionalFormatting>
  <conditionalFormatting sqref="W29:W33">
    <cfRule type="expression" dxfId="848" priority="38" stopIfTrue="1">
      <formula>IF(X29="S",TRUE, IF(X29="D", TRUE,FALSE))</formula>
    </cfRule>
  </conditionalFormatting>
  <conditionalFormatting sqref="Z8 Z10">
    <cfRule type="expression" dxfId="847" priority="37" stopIfTrue="1">
      <formula>IF(AA8="S",TRUE, IF(AA8="D", TRUE,FALSE))</formula>
    </cfRule>
  </conditionalFormatting>
  <conditionalFormatting sqref="Z9">
    <cfRule type="expression" dxfId="846" priority="36" stopIfTrue="1">
      <formula>IF(AA9="S",TRUE, IF(AA9="D", TRUE,FALSE))</formula>
    </cfRule>
  </conditionalFormatting>
  <conditionalFormatting sqref="W10">
    <cfRule type="expression" dxfId="845" priority="35" stopIfTrue="1">
      <formula>IF(X10="S",TRUE, IF(X10="D", TRUE,FALSE))</formula>
    </cfRule>
  </conditionalFormatting>
  <conditionalFormatting sqref="AB29">
    <cfRule type="expression" dxfId="844" priority="34" stopIfTrue="1">
      <formula>IF(AA29="S",TRUE,IF(AA29="D",TRUE,FALSE))</formula>
    </cfRule>
  </conditionalFormatting>
  <conditionalFormatting sqref="Q33">
    <cfRule type="expression" dxfId="843" priority="33" stopIfTrue="1">
      <formula>IF(R33="S",TRUE, IF(R33="D", TRUE,FALSE))</formula>
    </cfRule>
  </conditionalFormatting>
  <conditionalFormatting sqref="T32">
    <cfRule type="expression" dxfId="842" priority="32" stopIfTrue="1">
      <formula>IF(U32="S",TRUE, IF(U32="D", TRUE,FALSE))</formula>
    </cfRule>
  </conditionalFormatting>
  <conditionalFormatting sqref="E23:E25">
    <cfRule type="expression" dxfId="841" priority="31" stopIfTrue="1">
      <formula>IF(F23="S",TRUE, IF(F23="D", TRUE,FALSE))</formula>
    </cfRule>
  </conditionalFormatting>
  <conditionalFormatting sqref="E28:E32">
    <cfRule type="expression" dxfId="840" priority="30" stopIfTrue="1">
      <formula>IF(F28="S",TRUE, IF(F28="D", TRUE,FALSE))</formula>
    </cfRule>
  </conditionalFormatting>
  <conditionalFormatting sqref="E35">
    <cfRule type="expression" dxfId="839" priority="29" stopIfTrue="1">
      <formula>IF(F35="S",TRUE, IF(F35="D", TRUE,FALSE))</formula>
    </cfRule>
  </conditionalFormatting>
  <conditionalFormatting sqref="G23:G25">
    <cfRule type="expression" dxfId="838" priority="28" stopIfTrue="1">
      <formula>IF(F23="S",TRUE,IF(F23="D",TRUE,FALSE))</formula>
    </cfRule>
  </conditionalFormatting>
  <conditionalFormatting sqref="G28:G32">
    <cfRule type="expression" dxfId="837" priority="27" stopIfTrue="1">
      <formula>IF(F28="S",TRUE,IF(F28="D",TRUE,FALSE))</formula>
    </cfRule>
  </conditionalFormatting>
  <conditionalFormatting sqref="G35">
    <cfRule type="expression" dxfId="836" priority="26" stopIfTrue="1">
      <formula>IF(F35="S",TRUE,IF(F35="D",TRUE,FALSE))</formula>
    </cfRule>
  </conditionalFormatting>
  <conditionalFormatting sqref="K30:K33">
    <cfRule type="expression" dxfId="835" priority="25" stopIfTrue="1">
      <formula>IF(L30="S",TRUE, IF(L30="D", TRUE,FALSE))</formula>
    </cfRule>
  </conditionalFormatting>
  <conditionalFormatting sqref="N6:N7">
    <cfRule type="expression" dxfId="834" priority="24" stopIfTrue="1">
      <formula>IF(O6="S",TRUE, IF(O6="D", TRUE,FALSE))</formula>
    </cfRule>
  </conditionalFormatting>
  <conditionalFormatting sqref="Q31:Q32">
    <cfRule type="expression" dxfId="833" priority="23" stopIfTrue="1">
      <formula>IF(R31="S",TRUE, IF(R31="D", TRUE,FALSE))</formula>
    </cfRule>
  </conditionalFormatting>
  <conditionalFormatting sqref="H5:H7">
    <cfRule type="expression" dxfId="832" priority="22" stopIfTrue="1">
      <formula>IF(I5="S",TRUE, IF(I5="D", TRUE,FALSE))</formula>
    </cfRule>
  </conditionalFormatting>
  <conditionalFormatting sqref="H15">
    <cfRule type="expression" dxfId="831" priority="21" stopIfTrue="1">
      <formula>IF(I15="S",TRUE, IF(I15="D", TRUE,FALSE))</formula>
    </cfRule>
  </conditionalFormatting>
  <conditionalFormatting sqref="T10:T12">
    <cfRule type="expression" dxfId="830" priority="20" stopIfTrue="1">
      <formula>IF(U10="S",TRUE, IF(U10="D", TRUE,FALSE))</formula>
    </cfRule>
  </conditionalFormatting>
  <conditionalFormatting sqref="W21">
    <cfRule type="expression" dxfId="829" priority="19" stopIfTrue="1">
      <formula>IF(X21="S",TRUE, IF(X21="D", TRUE,FALSE))</formula>
    </cfRule>
  </conditionalFormatting>
  <conditionalFormatting sqref="Z5:Z7">
    <cfRule type="expression" dxfId="828" priority="18" stopIfTrue="1">
      <formula>IF(AA5="S",TRUE, IF(AA5="D", TRUE,FALSE))</formula>
    </cfRule>
  </conditionalFormatting>
  <conditionalFormatting sqref="Z12:Z15">
    <cfRule type="expression" dxfId="827" priority="17" stopIfTrue="1">
      <formula>IF(AA12="S",TRUE, IF(AA12="D", TRUE,FALSE))</formula>
    </cfRule>
  </conditionalFormatting>
  <conditionalFormatting sqref="Z29">
    <cfRule type="expression" dxfId="826" priority="16" stopIfTrue="1">
      <formula>IF(AA29="S",TRUE, IF(AA29="D", TRUE,FALSE))</formula>
    </cfRule>
  </conditionalFormatting>
  <conditionalFormatting sqref="AB54:AK54">
    <cfRule type="expression" dxfId="825" priority="15" stopIfTrue="1">
      <formula>IF($P$47&gt;#REF!,TRUE,FALSE)</formula>
    </cfRule>
  </conditionalFormatting>
  <conditionalFormatting sqref="T9">
    <cfRule type="expression" dxfId="824" priority="14" stopIfTrue="1">
      <formula>IF(U9="S",TRUE, IF(U9="D", TRUE,FALSE))</formula>
    </cfRule>
  </conditionalFormatting>
  <conditionalFormatting sqref="Z11">
    <cfRule type="expression" dxfId="823" priority="13" stopIfTrue="1">
      <formula>IF(AA11="S",TRUE, IF(AA11="D", TRUE,FALSE))</formula>
    </cfRule>
  </conditionalFormatting>
  <conditionalFormatting sqref="AK32">
    <cfRule type="expression" dxfId="822" priority="12" stopIfTrue="1">
      <formula>IF(AJ32="S",TRUE,IF(AJ32="D",TRUE,FALSE))</formula>
    </cfRule>
  </conditionalFormatting>
  <conditionalFormatting sqref="AK31">
    <cfRule type="expression" dxfId="821" priority="11" stopIfTrue="1">
      <formula>IF(AJ31="S",TRUE,IF(AJ31="D",TRUE,FALSE))</formula>
    </cfRule>
  </conditionalFormatting>
  <conditionalFormatting sqref="AK30">
    <cfRule type="expression" dxfId="820" priority="10" stopIfTrue="1">
      <formula>IF(AJ30="S",TRUE,IF(AJ30="D",TRUE,FALSE))</formula>
    </cfRule>
  </conditionalFormatting>
  <conditionalFormatting sqref="AH14">
    <cfRule type="expression" dxfId="819" priority="9" stopIfTrue="1">
      <formula>IF(AG14="S",TRUE,IF(AG14="D",TRUE,FALSE))</formula>
    </cfRule>
  </conditionalFormatting>
  <conditionalFormatting sqref="AH15">
    <cfRule type="expression" dxfId="818" priority="8" stopIfTrue="1">
      <formula>IF(AG15="S",TRUE,IF(AG15="D",TRUE,FALSE))</formula>
    </cfRule>
  </conditionalFormatting>
  <conditionalFormatting sqref="AH16">
    <cfRule type="expression" dxfId="817" priority="7" stopIfTrue="1">
      <formula>IF(AG16="S",TRUE,IF(AG16="D",TRUE,FALSE))</formula>
    </cfRule>
  </conditionalFormatting>
  <conditionalFormatting sqref="G26:G27">
    <cfRule type="expression" dxfId="816" priority="6" stopIfTrue="1">
      <formula>IF(F26="S",TRUE,IF(F26="D",TRUE,FALSE))</formula>
    </cfRule>
  </conditionalFormatting>
  <conditionalFormatting sqref="G28:G30">
    <cfRule type="expression" dxfId="815" priority="5" stopIfTrue="1">
      <formula>IF(F28="S",TRUE,IF(F28="D",TRUE,FALSE))</formula>
    </cfRule>
  </conditionalFormatting>
  <conditionalFormatting sqref="AH12:AH13">
    <cfRule type="expression" dxfId="814" priority="4" stopIfTrue="1">
      <formula>IF(AG12="S",TRUE,IF(AG12="D",TRUE,FALSE))</formula>
    </cfRule>
  </conditionalFormatting>
  <conditionalFormatting sqref="AH14:AH16">
    <cfRule type="expression" dxfId="813" priority="3" stopIfTrue="1">
      <formula>IF(AG14="S",TRUE,IF(AG14="D",TRUE,FALSE))</formula>
    </cfRule>
  </conditionalFormatting>
  <conditionalFormatting sqref="AK30:AK31">
    <cfRule type="expression" dxfId="812" priority="2" stopIfTrue="1">
      <formula>IF(AJ30="S",TRUE,IF(AJ30="D",TRUE,FALSE))</formula>
    </cfRule>
  </conditionalFormatting>
  <conditionalFormatting sqref="AK32:AK34">
    <cfRule type="expression" dxfId="811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0113" r:id="rId4" name="ComboBox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7">
    <tabColor rgb="FFFF0000"/>
    <pageSetUpPr fitToPage="1"/>
  </sheetPr>
  <dimension ref="B1:BA74"/>
  <sheetViews>
    <sheetView showGridLines="0" topLeftCell="A25" zoomScaleNormal="115" workbookViewId="0">
      <selection activeCell="H68" sqref="H68:M68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1" si="0">IF(F5="L",$D$46,IF(F5="Ma",$G$46,IF(F5="Me",$J$46,IF(F5="J",$M$46,IF(F5="V",$P$46,"")))))</f>
        <v>0.20833333333333337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0.45833333333333337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0.45833333333333337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0.20833333333333337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0.20833333333333337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v>0.375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0.16666666666666669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0.45833333333333337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0.16666666666666669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0.20833333333333337</v>
      </c>
      <c r="E7" s="33">
        <v>3</v>
      </c>
      <c r="F7" s="87" t="str">
        <f>CHOOSE(WEEKDAY(Calendrier!C7,2),"L","Ma","Me","J","V","S","D")</f>
        <v>Me</v>
      </c>
      <c r="G7" s="65">
        <f t="shared" si="0"/>
        <v>0.45833333333333337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0.20833333333333337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0.45833333333333337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0.45833333333333337</v>
      </c>
      <c r="AC7" s="33">
        <v>3</v>
      </c>
      <c r="AD7" s="87" t="str">
        <f>CHOOSE(WEEKDAY(Calendrier!K7,2),"L","Ma","Me","J","V","S","D")</f>
        <v>L</v>
      </c>
      <c r="AE7" s="100">
        <f t="shared" si="5"/>
        <v>0.20833333333333337</v>
      </c>
      <c r="AF7" s="33">
        <v>3</v>
      </c>
      <c r="AG7" s="87" t="str">
        <f>CHOOSE(WEEKDAY(Calendrier!L7,2),"L","Ma","Me","J","V","S","D")</f>
        <v>Me</v>
      </c>
      <c r="AH7" s="65">
        <f t="shared" si="6"/>
        <v>0.45833333333333337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0.16666666666666669</v>
      </c>
      <c r="E8" s="33">
        <v>4</v>
      </c>
      <c r="F8" s="87" t="str">
        <f>CHOOSE(WEEKDAY(Calendrier!C8,2),"L","Ma","Me","J","V","S","D")</f>
        <v>J</v>
      </c>
      <c r="G8" s="65">
        <f t="shared" si="0"/>
        <v>0.45833333333333337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0.16666666666666669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0.20833333333333337</v>
      </c>
      <c r="T8" s="33">
        <v>4</v>
      </c>
      <c r="U8" s="87" t="str">
        <f>CHOOSE(WEEKDAY(Calendrier!H8,2),"L","Ma","Me","J","V","S","D")</f>
        <v>L</v>
      </c>
      <c r="V8" s="100">
        <f t="shared" si="3"/>
        <v>0.20833333333333337</v>
      </c>
      <c r="W8" s="33">
        <v>4</v>
      </c>
      <c r="X8" s="87" t="str">
        <f>CHOOSE(WEEKDAY(Calendrier!I8,2),"L","Ma","Me","J","V","S","D")</f>
        <v>J</v>
      </c>
      <c r="Y8" s="65">
        <f t="shared" si="4"/>
        <v>0.45833333333333337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0.16666666666666669</v>
      </c>
      <c r="AF8" s="33">
        <v>4</v>
      </c>
      <c r="AG8" s="87" t="str">
        <f>CHOOSE(WEEKDAY(Calendrier!L8,2),"L","Ma","Me","J","V","S","D")</f>
        <v>J</v>
      </c>
      <c r="AH8" s="65">
        <f t="shared" si="6"/>
        <v>0.45833333333333337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0.45833333333333337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0.45833333333333337</v>
      </c>
      <c r="H9" s="33">
        <v>5</v>
      </c>
      <c r="I9" s="87" t="str">
        <f>CHOOSE(WEEKDAY(Calendrier!D9,2),"L","Ma","Me","J","V","S","D")</f>
        <v>L</v>
      </c>
      <c r="J9" s="100">
        <f t="shared" si="11"/>
        <v>0.20833333333333337</v>
      </c>
      <c r="K9" s="33">
        <v>5</v>
      </c>
      <c r="L9" s="87" t="str">
        <f>CHOOSE(WEEKDAY(Calendrier!E9,2),"L","Ma","Me","J","V","S","D")</f>
        <v>Me</v>
      </c>
      <c r="M9" s="65">
        <f t="shared" si="1"/>
        <v>0.45833333333333337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0.16666666666666669</v>
      </c>
      <c r="T9" s="33">
        <v>5</v>
      </c>
      <c r="U9" s="87" t="str">
        <f>CHOOSE(WEEKDAY(Calendrier!H9,2),"L","Ma","Me","J","V","S","D")</f>
        <v>Ma</v>
      </c>
      <c r="V9" s="100">
        <f t="shared" si="3"/>
        <v>0.16666666666666669</v>
      </c>
      <c r="W9" s="33">
        <v>5</v>
      </c>
      <c r="X9" s="87" t="str">
        <f>CHOOSE(WEEKDAY(Calendrier!I9,2),"L","Ma","Me","J","V","S","D")</f>
        <v>V</v>
      </c>
      <c r="Y9" s="65">
        <f t="shared" si="4"/>
        <v>0.45833333333333337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0.45833333333333337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0.45833333333333337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0.16666666666666669</v>
      </c>
      <c r="K10" s="33">
        <v>6</v>
      </c>
      <c r="L10" s="87" t="str">
        <f>CHOOSE(WEEKDAY(Calendrier!E10,2),"L","Ma","Me","J","V","S","D")</f>
        <v>J</v>
      </c>
      <c r="M10" s="65">
        <f t="shared" si="1"/>
        <v>0.45833333333333337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0.45833333333333337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0.45833333333333337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0.20833333333333337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0.45833333333333337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0.45833333333333337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0.45833333333333337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0.45833333333333337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0.20833333333333337</v>
      </c>
      <c r="Q11" s="33">
        <v>7</v>
      </c>
      <c r="R11" s="87" t="str">
        <f>CHOOSE(WEEKDAY(Calendrier!G11,2),"L","Ma","Me","J","V","S","D")</f>
        <v>J</v>
      </c>
      <c r="S11" s="65">
        <f t="shared" si="2"/>
        <v>0.45833333333333337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0.45833333333333337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0.16666666666666669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0.45833333333333337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0.20833333333333337</v>
      </c>
      <c r="H12" s="33">
        <v>8</v>
      </c>
      <c r="I12" s="87" t="str">
        <f>CHOOSE(WEEKDAY(Calendrier!D12,2),"L","Ma","Me","J","V","S","D")</f>
        <v>J</v>
      </c>
      <c r="J12" s="65">
        <f t="shared" si="11"/>
        <v>0.45833333333333337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0.16666666666666669</v>
      </c>
      <c r="Q12" s="33">
        <v>8</v>
      </c>
      <c r="R12" s="87" t="str">
        <f>CHOOSE(WEEKDAY(Calendrier!G12,2),"L","Ma","Me","J","V","S","D")</f>
        <v>V</v>
      </c>
      <c r="S12" s="65">
        <f t="shared" si="2"/>
        <v>0.45833333333333337</v>
      </c>
      <c r="T12" s="33">
        <v>8</v>
      </c>
      <c r="U12" s="87" t="str">
        <f>CHOOSE(WEEKDAY(Calendrier!H12,2),"L","Ma","Me","J","V","S","D")</f>
        <v>V</v>
      </c>
      <c r="V12" s="65">
        <f t="shared" si="3"/>
        <v>0.45833333333333337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0.16666666666666669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0.45833333333333337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0.45833333333333337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0.45833333333333337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0.20833333333333337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0.45833333333333337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0.20833333333333337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0.45833333333333337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0.45833333333333337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0.16666666666666669</v>
      </c>
      <c r="E15" s="33">
        <v>11</v>
      </c>
      <c r="F15" s="87" t="str">
        <f>CHOOSE(WEEKDAY(Calendrier!C15,2),"L","Ma","Me","J","V","S","D")</f>
        <v>J</v>
      </c>
      <c r="G15" s="65">
        <f t="shared" si="0"/>
        <v>0.45833333333333337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0.16666666666666669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0.45833333333333337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0.20833333333333337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0.16666666666666669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0.45833333333333337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0.45833333333333337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0.20833333333333337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0.45833333333333337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0.16666666666666669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0.45833333333333337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0.45833333333333337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0.16666666666666669</v>
      </c>
      <c r="K17" s="33">
        <v>13</v>
      </c>
      <c r="L17" s="87" t="str">
        <f>CHOOSE(WEEKDAY(Calendrier!E17,2),"L","Ma","Me","J","V","S","D")</f>
        <v>J</v>
      </c>
      <c r="M17" s="65">
        <f t="shared" si="1"/>
        <v>0.45833333333333337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0.45833333333333337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0.20833333333333337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0.45833333333333337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0.45833333333333337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0.45833333333333337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0.45833333333333337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0.20833333333333337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0.45833333333333337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0.16666666666666669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0.45833333333333337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0.20833333333333337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0.45833333333333337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0.16666666666666669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0.45833333333333337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0.45833333333333337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0.16666666666666669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0.45833333333333337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0.45833333333333337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0.45833333333333337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0.20833333333333337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0.45833333333333337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0.20833333333333337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0.45833333333333337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0.45833333333333337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0.20833333333333337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0.16666666666666669</v>
      </c>
      <c r="E22" s="33">
        <v>18</v>
      </c>
      <c r="F22" s="87" t="str">
        <f>CHOOSE(WEEKDAY(Calendrier!C22,2),"L","Ma","Me","J","V","S","D")</f>
        <v>J</v>
      </c>
      <c r="G22" s="65">
        <v>0.83333333333333337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0.16666666666666669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0.45833333333333337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0.20833333333333337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0.16666666666666669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0.45833333333333337</v>
      </c>
      <c r="E23" s="33">
        <v>19</v>
      </c>
      <c r="F23" s="87" t="str">
        <f>CHOOSE(WEEKDAY(Calendrier!C23,2),"L","Ma","Me","J","V","S","D")</f>
        <v>V</v>
      </c>
      <c r="G23" s="65">
        <v>0.5625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0.20833333333333337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0.45833333333333337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0.16666666666666669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0.45833333333333337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0.45833333333333337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0.16666666666666669</v>
      </c>
      <c r="K24" s="33">
        <v>20</v>
      </c>
      <c r="L24" s="87" t="str">
        <f>CHOOSE(WEEKDAY(Calendrier!E24,2),"L","Ma","Me","J","V","S","D")</f>
        <v>J</v>
      </c>
      <c r="M24" s="65">
        <f t="shared" si="1"/>
        <v>0.45833333333333337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0.45833333333333337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0.20833333333333337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0.45833333333333337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0.45833333333333337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0.45833333333333337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0.45833333333333337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0.20833333333333337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0.45833333333333337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0.16666666666666669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0.45833333333333337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0.45833333333333337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0.16666666666666669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0.45833333333333337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0.45833333333333337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0.45833333333333337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0.45833333333333337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0.16666666666666669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0.45833333333333337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0.20833333333333337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0.45833333333333337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0.45833333333333337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0.45833333333333337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0.20833333333333337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0.16666666666666669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0.45833333333333337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0.20833333333333337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0.20833333333333337</v>
      </c>
      <c r="W29" s="33">
        <v>25</v>
      </c>
      <c r="X29" s="87" t="str">
        <f>CHOOSE(WEEKDAY(Calendrier!I29,2),"L","Ma","Me","J","V","S","D")</f>
        <v>J</v>
      </c>
      <c r="Y29" s="65">
        <f t="shared" si="4"/>
        <v>0.45833333333333337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0.16666666666666669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0.45833333333333337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0.20833333333333337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0.16666666666666669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0.16666666666666669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0.45833333333333337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0.45833333333333337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0.45833333333333337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0.16666666666666669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0.45833333333333337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0.45833333333333337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0.20833333333333337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0.45833333333333337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0.45833333333333337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0.45833333333333337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0.20833333333333337</v>
      </c>
      <c r="Q32" s="33">
        <v>28</v>
      </c>
      <c r="R32" s="87" t="str">
        <f>CHOOSE(WEEKDAY(Calendrier!G32,2),"L","Ma","Me","J","V","S","D")</f>
        <v>J</v>
      </c>
      <c r="S32" s="65">
        <f t="shared" si="2"/>
        <v>0.45833333333333337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0.45833333333333337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0.16666666666666669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0.45833333333333337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0.16666666666666669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0.45833333333333337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0.20833333333333337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0.45833333333333337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0.45833333333333337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0.45833333333333337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0.16666666666666669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0.45833333333333337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0.45833333333333337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6.9999999999999991</v>
      </c>
      <c r="E36" s="39"/>
      <c r="F36" s="31"/>
      <c r="G36" s="37">
        <f>SUM(G5:G35)</f>
        <v>6.1875</v>
      </c>
      <c r="H36" s="40"/>
      <c r="I36" s="28"/>
      <c r="J36" s="38">
        <f>SUM(J5:J35)</f>
        <v>6.9999999999999991</v>
      </c>
      <c r="K36" s="39"/>
      <c r="L36" s="31"/>
      <c r="M36" s="38">
        <f>SUM(M5:M35)</f>
        <v>5.25</v>
      </c>
      <c r="N36" s="39"/>
      <c r="O36" s="32"/>
      <c r="P36" s="38">
        <f>SUM(P5:P35)</f>
        <v>6.5416666666666661</v>
      </c>
      <c r="Q36" s="41"/>
      <c r="R36" s="29"/>
      <c r="S36" s="38">
        <f>SUM(S5:S35)</f>
        <v>3.5000000000000009</v>
      </c>
      <c r="T36" s="39"/>
      <c r="U36" s="32"/>
      <c r="V36" s="38">
        <f>SUM(V5:V35)</f>
        <v>7.458333333333333</v>
      </c>
      <c r="W36" s="39"/>
      <c r="X36" s="32"/>
      <c r="Y36" s="38">
        <f>SUM(Y5:Y34)</f>
        <v>3.6666666666666674</v>
      </c>
      <c r="Z36" s="39"/>
      <c r="AA36" s="32"/>
      <c r="AB36" s="38">
        <f>SUM(AB5:AB35)</f>
        <v>6.9999999999999991</v>
      </c>
      <c r="AC36" s="39"/>
      <c r="AD36" s="32"/>
      <c r="AE36" s="38">
        <f>SUM(AE7:AE34)</f>
        <v>6.708333333333333</v>
      </c>
      <c r="AF36" s="39"/>
      <c r="AG36" s="31"/>
      <c r="AH36" s="38">
        <f>SUM(AH5:AH34)</f>
        <v>1.666666666666667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61.979166666666664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0.72916666666666663</v>
      </c>
      <c r="E42" s="199" t="s">
        <v>13</v>
      </c>
      <c r="F42" s="200"/>
      <c r="G42" s="81">
        <v>8.3333333333333329E-2</v>
      </c>
      <c r="H42" s="199" t="s">
        <v>14</v>
      </c>
      <c r="I42" s="200"/>
      <c r="J42" s="81">
        <v>0.3125</v>
      </c>
      <c r="K42" s="199" t="s">
        <v>15</v>
      </c>
      <c r="L42" s="200"/>
      <c r="M42" s="81">
        <v>0.3125</v>
      </c>
      <c r="N42" s="199" t="s">
        <v>16</v>
      </c>
      <c r="O42" s="200"/>
      <c r="P42" s="81">
        <v>0.3125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0.9375</v>
      </c>
      <c r="E43" s="201"/>
      <c r="F43" s="202"/>
      <c r="G43" s="81">
        <v>0.20833333333333334</v>
      </c>
      <c r="H43" s="201"/>
      <c r="I43" s="202"/>
      <c r="J43" s="81">
        <v>0.77083333333333337</v>
      </c>
      <c r="K43" s="201"/>
      <c r="L43" s="202"/>
      <c r="M43" s="81">
        <v>0.77083333333333337</v>
      </c>
      <c r="N43" s="201"/>
      <c r="O43" s="202"/>
      <c r="P43" s="81">
        <v>0.77083333333333337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0.27083333333333331</v>
      </c>
      <c r="H44" s="201"/>
      <c r="I44" s="202"/>
      <c r="J44" s="81"/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64.625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0.3125</v>
      </c>
      <c r="H45" s="201"/>
      <c r="I45" s="202"/>
      <c r="J45" s="81"/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0.20833333333333337</v>
      </c>
      <c r="E46" s="203"/>
      <c r="F46" s="204"/>
      <c r="G46" s="82">
        <f>(G43-G42)+(G45-G44)</f>
        <v>0.16666666666666669</v>
      </c>
      <c r="H46" s="203"/>
      <c r="I46" s="204"/>
      <c r="J46" s="82">
        <f>(J43-J42)+(J45-J44)</f>
        <v>0.45833333333333337</v>
      </c>
      <c r="K46" s="203"/>
      <c r="L46" s="204"/>
      <c r="M46" s="82">
        <f>(M43-M42)+(M45-M44)</f>
        <v>0.45833333333333337</v>
      </c>
      <c r="N46" s="203"/>
      <c r="O46" s="204"/>
      <c r="P46" s="82">
        <f>(P43-P42)+(P45-P44)</f>
        <v>0.45833333333333337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61.979166666666664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0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2.6458333333333357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-2.6458333333333357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2.6458333333333357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810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809" priority="54" stopIfTrue="1">
      <formula>IF(C5="S",TRUE,IF(C5="D",TRUE,FALSE))</formula>
    </cfRule>
  </conditionalFormatting>
  <conditionalFormatting sqref="AB49:AK49 AB53:AK53">
    <cfRule type="expression" dxfId="808" priority="53" stopIfTrue="1">
      <formula xml:space="preserve"> IF($G$38=100,IF($P$47&lt;$AI49,TRUE,FALSE),FALSE)</formula>
    </cfRule>
  </conditionalFormatting>
  <conditionalFormatting sqref="R34">
    <cfRule type="cellIs" dxfId="807" priority="51" stopIfTrue="1" operator="equal">
      <formula>"S"</formula>
    </cfRule>
    <cfRule type="cellIs" dxfId="806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805" priority="50" stopIfTrue="1">
      <formula>IF(C5="S",TRUE,IF(C5="D",TRUE,FALSE))</formula>
    </cfRule>
  </conditionalFormatting>
  <conditionalFormatting sqref="P47">
    <cfRule type="cellIs" dxfId="804" priority="48" stopIfTrue="1" operator="lessThan">
      <formula>1.33333333333333</formula>
    </cfRule>
    <cfRule type="cellIs" dxfId="803" priority="49" stopIfTrue="1" operator="greaterThan">
      <formula>1.83333333333333</formula>
    </cfRule>
  </conditionalFormatting>
  <conditionalFormatting sqref="E26:E27">
    <cfRule type="expression" dxfId="802" priority="47" stopIfTrue="1">
      <formula>IF(F26="S",TRUE, IF(F26="D", TRUE,FALSE))</formula>
    </cfRule>
  </conditionalFormatting>
  <conditionalFormatting sqref="E33:E34">
    <cfRule type="expression" dxfId="801" priority="46" stopIfTrue="1">
      <formula>IF(F33="S",TRUE, IF(F33="D", TRUE,FALSE))</formula>
    </cfRule>
  </conditionalFormatting>
  <conditionalFormatting sqref="H13">
    <cfRule type="expression" dxfId="800" priority="45" stopIfTrue="1">
      <formula>IF(I13="S",TRUE, IF(I13="D", TRUE,FALSE))</formula>
    </cfRule>
  </conditionalFormatting>
  <conditionalFormatting sqref="N8">
    <cfRule type="expression" dxfId="799" priority="44" stopIfTrue="1">
      <formula>IF(O8="S",TRUE, IF(O8="D", TRUE,FALSE))</formula>
    </cfRule>
  </conditionalFormatting>
  <conditionalFormatting sqref="K34:K35 K26:K28">
    <cfRule type="expression" dxfId="798" priority="43" stopIfTrue="1">
      <formula>IF(L26="S",TRUE, IF(L26="D", TRUE,FALSE))</formula>
    </cfRule>
  </conditionalFormatting>
  <conditionalFormatting sqref="T5:T8">
    <cfRule type="expression" dxfId="797" priority="42" stopIfTrue="1">
      <formula>IF(U5="S",TRUE, IF(U5="D", TRUE,FALSE))</formula>
    </cfRule>
  </conditionalFormatting>
  <conditionalFormatting sqref="Q26:Q30">
    <cfRule type="expression" dxfId="796" priority="41" stopIfTrue="1">
      <formula>IF(R26="S",TRUE, IF(R26="D", TRUE,FALSE))</formula>
    </cfRule>
  </conditionalFormatting>
  <conditionalFormatting sqref="Z20">
    <cfRule type="expression" dxfId="795" priority="40" stopIfTrue="1">
      <formula>IF(AA20="S",TRUE, IF(AA20="D", TRUE,FALSE))</formula>
    </cfRule>
  </conditionalFormatting>
  <conditionalFormatting sqref="W23">
    <cfRule type="expression" dxfId="794" priority="39" stopIfTrue="1">
      <formula>IF(X23="S",TRUE, IF(X23="D", TRUE,FALSE))</formula>
    </cfRule>
  </conditionalFormatting>
  <conditionalFormatting sqref="W29:W33">
    <cfRule type="expression" dxfId="793" priority="38" stopIfTrue="1">
      <formula>IF(X29="S",TRUE, IF(X29="D", TRUE,FALSE))</formula>
    </cfRule>
  </conditionalFormatting>
  <conditionalFormatting sqref="Z8 Z10">
    <cfRule type="expression" dxfId="792" priority="37" stopIfTrue="1">
      <formula>IF(AA8="S",TRUE, IF(AA8="D", TRUE,FALSE))</formula>
    </cfRule>
  </conditionalFormatting>
  <conditionalFormatting sqref="Z9">
    <cfRule type="expression" dxfId="791" priority="36" stopIfTrue="1">
      <formula>IF(AA9="S",TRUE, IF(AA9="D", TRUE,FALSE))</formula>
    </cfRule>
  </conditionalFormatting>
  <conditionalFormatting sqref="W10">
    <cfRule type="expression" dxfId="790" priority="35" stopIfTrue="1">
      <formula>IF(X10="S",TRUE, IF(X10="D", TRUE,FALSE))</formula>
    </cfRule>
  </conditionalFormatting>
  <conditionalFormatting sqref="AB29">
    <cfRule type="expression" dxfId="789" priority="34" stopIfTrue="1">
      <formula>IF(AA29="S",TRUE,IF(AA29="D",TRUE,FALSE))</formula>
    </cfRule>
  </conditionalFormatting>
  <conditionalFormatting sqref="Q33">
    <cfRule type="expression" dxfId="788" priority="33" stopIfTrue="1">
      <formula>IF(R33="S",TRUE, IF(R33="D", TRUE,FALSE))</formula>
    </cfRule>
  </conditionalFormatting>
  <conditionalFormatting sqref="T32">
    <cfRule type="expression" dxfId="787" priority="32" stopIfTrue="1">
      <formula>IF(U32="S",TRUE, IF(U32="D", TRUE,FALSE))</formula>
    </cfRule>
  </conditionalFormatting>
  <conditionalFormatting sqref="E23:E25">
    <cfRule type="expression" dxfId="786" priority="31" stopIfTrue="1">
      <formula>IF(F23="S",TRUE, IF(F23="D", TRUE,FALSE))</formula>
    </cfRule>
  </conditionalFormatting>
  <conditionalFormatting sqref="E28:E32">
    <cfRule type="expression" dxfId="785" priority="30" stopIfTrue="1">
      <formula>IF(F28="S",TRUE, IF(F28="D", TRUE,FALSE))</formula>
    </cfRule>
  </conditionalFormatting>
  <conditionalFormatting sqref="E35">
    <cfRule type="expression" dxfId="784" priority="29" stopIfTrue="1">
      <formula>IF(F35="S",TRUE, IF(F35="D", TRUE,FALSE))</formula>
    </cfRule>
  </conditionalFormatting>
  <conditionalFormatting sqref="G23:G25">
    <cfRule type="expression" dxfId="783" priority="28" stopIfTrue="1">
      <formula>IF(F23="S",TRUE,IF(F23="D",TRUE,FALSE))</formula>
    </cfRule>
  </conditionalFormatting>
  <conditionalFormatting sqref="G28:G32">
    <cfRule type="expression" dxfId="782" priority="27" stopIfTrue="1">
      <formula>IF(F28="S",TRUE,IF(F28="D",TRUE,FALSE))</formula>
    </cfRule>
  </conditionalFormatting>
  <conditionalFormatting sqref="G35">
    <cfRule type="expression" dxfId="781" priority="26" stopIfTrue="1">
      <formula>IF(F35="S",TRUE,IF(F35="D",TRUE,FALSE))</formula>
    </cfRule>
  </conditionalFormatting>
  <conditionalFormatting sqref="K30:K33">
    <cfRule type="expression" dxfId="780" priority="25" stopIfTrue="1">
      <formula>IF(L30="S",TRUE, IF(L30="D", TRUE,FALSE))</formula>
    </cfRule>
  </conditionalFormatting>
  <conditionalFormatting sqref="N6:N7">
    <cfRule type="expression" dxfId="779" priority="24" stopIfTrue="1">
      <formula>IF(O6="S",TRUE, IF(O6="D", TRUE,FALSE))</formula>
    </cfRule>
  </conditionalFormatting>
  <conditionalFormatting sqref="Q31:Q32">
    <cfRule type="expression" dxfId="778" priority="23" stopIfTrue="1">
      <formula>IF(R31="S",TRUE, IF(R31="D", TRUE,FALSE))</formula>
    </cfRule>
  </conditionalFormatting>
  <conditionalFormatting sqref="H5:H7">
    <cfRule type="expression" dxfId="777" priority="22" stopIfTrue="1">
      <formula>IF(I5="S",TRUE, IF(I5="D", TRUE,FALSE))</formula>
    </cfRule>
  </conditionalFormatting>
  <conditionalFormatting sqref="H15">
    <cfRule type="expression" dxfId="776" priority="21" stopIfTrue="1">
      <formula>IF(I15="S",TRUE, IF(I15="D", TRUE,FALSE))</formula>
    </cfRule>
  </conditionalFormatting>
  <conditionalFormatting sqref="T10:T12">
    <cfRule type="expression" dxfId="775" priority="20" stopIfTrue="1">
      <formula>IF(U10="S",TRUE, IF(U10="D", TRUE,FALSE))</formula>
    </cfRule>
  </conditionalFormatting>
  <conditionalFormatting sqref="W21">
    <cfRule type="expression" dxfId="774" priority="19" stopIfTrue="1">
      <formula>IF(X21="S",TRUE, IF(X21="D", TRUE,FALSE))</formula>
    </cfRule>
  </conditionalFormatting>
  <conditionalFormatting sqref="Z5:Z7">
    <cfRule type="expression" dxfId="773" priority="18" stopIfTrue="1">
      <formula>IF(AA5="S",TRUE, IF(AA5="D", TRUE,FALSE))</formula>
    </cfRule>
  </conditionalFormatting>
  <conditionalFormatting sqref="Z12:Z15">
    <cfRule type="expression" dxfId="772" priority="17" stopIfTrue="1">
      <formula>IF(AA12="S",TRUE, IF(AA12="D", TRUE,FALSE))</formula>
    </cfRule>
  </conditionalFormatting>
  <conditionalFormatting sqref="Z29">
    <cfRule type="expression" dxfId="771" priority="16" stopIfTrue="1">
      <formula>IF(AA29="S",TRUE, IF(AA29="D", TRUE,FALSE))</formula>
    </cfRule>
  </conditionalFormatting>
  <conditionalFormatting sqref="AB54:AK54">
    <cfRule type="expression" dxfId="770" priority="15" stopIfTrue="1">
      <formula>IF($P$47&gt;#REF!,TRUE,FALSE)</formula>
    </cfRule>
  </conditionalFormatting>
  <conditionalFormatting sqref="T9">
    <cfRule type="expression" dxfId="769" priority="14" stopIfTrue="1">
      <formula>IF(U9="S",TRUE, IF(U9="D", TRUE,FALSE))</formula>
    </cfRule>
  </conditionalFormatting>
  <conditionalFormatting sqref="Z11">
    <cfRule type="expression" dxfId="768" priority="13" stopIfTrue="1">
      <formula>IF(AA11="S",TRUE, IF(AA11="D", TRUE,FALSE))</formula>
    </cfRule>
  </conditionalFormatting>
  <conditionalFormatting sqref="AK32">
    <cfRule type="expression" dxfId="767" priority="12" stopIfTrue="1">
      <formula>IF(AJ32="S",TRUE,IF(AJ32="D",TRUE,FALSE))</formula>
    </cfRule>
  </conditionalFormatting>
  <conditionalFormatting sqref="AK31">
    <cfRule type="expression" dxfId="766" priority="11" stopIfTrue="1">
      <formula>IF(AJ31="S",TRUE,IF(AJ31="D",TRUE,FALSE))</formula>
    </cfRule>
  </conditionalFormatting>
  <conditionalFormatting sqref="AK30">
    <cfRule type="expression" dxfId="765" priority="10" stopIfTrue="1">
      <formula>IF(AJ30="S",TRUE,IF(AJ30="D",TRUE,FALSE))</formula>
    </cfRule>
  </conditionalFormatting>
  <conditionalFormatting sqref="AH14">
    <cfRule type="expression" dxfId="764" priority="9" stopIfTrue="1">
      <formula>IF(AG14="S",TRUE,IF(AG14="D",TRUE,FALSE))</formula>
    </cfRule>
  </conditionalFormatting>
  <conditionalFormatting sqref="AH15">
    <cfRule type="expression" dxfId="763" priority="8" stopIfTrue="1">
      <formula>IF(AG15="S",TRUE,IF(AG15="D",TRUE,FALSE))</formula>
    </cfRule>
  </conditionalFormatting>
  <conditionalFormatting sqref="AH16">
    <cfRule type="expression" dxfId="762" priority="7" stopIfTrue="1">
      <formula>IF(AG16="S",TRUE,IF(AG16="D",TRUE,FALSE))</formula>
    </cfRule>
  </conditionalFormatting>
  <conditionalFormatting sqref="G26:G27">
    <cfRule type="expression" dxfId="761" priority="6" stopIfTrue="1">
      <formula>IF(F26="S",TRUE,IF(F26="D",TRUE,FALSE))</formula>
    </cfRule>
  </conditionalFormatting>
  <conditionalFormatting sqref="G28:G30">
    <cfRule type="expression" dxfId="760" priority="5" stopIfTrue="1">
      <formula>IF(F28="S",TRUE,IF(F28="D",TRUE,FALSE))</formula>
    </cfRule>
  </conditionalFormatting>
  <conditionalFormatting sqref="AH12:AH13">
    <cfRule type="expression" dxfId="759" priority="4" stopIfTrue="1">
      <formula>IF(AG12="S",TRUE,IF(AG12="D",TRUE,FALSE))</formula>
    </cfRule>
  </conditionalFormatting>
  <conditionalFormatting sqref="AH14:AH16">
    <cfRule type="expression" dxfId="758" priority="3" stopIfTrue="1">
      <formula>IF(AG14="S",TRUE,IF(AG14="D",TRUE,FALSE))</formula>
    </cfRule>
  </conditionalFormatting>
  <conditionalFormatting sqref="AK30:AK31">
    <cfRule type="expression" dxfId="757" priority="2" stopIfTrue="1">
      <formula>IF(AJ30="S",TRUE,IF(AJ30="D",TRUE,FALSE))</formula>
    </cfRule>
  </conditionalFormatting>
  <conditionalFormatting sqref="AK32:AK34">
    <cfRule type="expression" dxfId="756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4209" r:id="rId4" name="ComboBox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6">
    <tabColor rgb="FFFF0000"/>
    <pageSetUpPr fitToPage="1"/>
  </sheetPr>
  <dimension ref="B1:BA74"/>
  <sheetViews>
    <sheetView showGridLines="0" zoomScaleNormal="115" workbookViewId="0">
      <selection activeCell="AY38" sqref="AY38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0.48958333333333331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0.48958333333333331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0.76041666666666674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</v>
      </c>
      <c r="E7" s="33">
        <v>3</v>
      </c>
      <c r="F7" s="87" t="str">
        <f>CHOOSE(WEEKDAY(Calendrier!C7,2),"L","Ma","Me","J","V","S","D")</f>
        <v>Me</v>
      </c>
      <c r="G7" s="65">
        <f t="shared" si="0"/>
        <v>0.45833333333333337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0.45833333333333337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0.48958333333333331</v>
      </c>
      <c r="AC7" s="33">
        <v>3</v>
      </c>
      <c r="AD7" s="87" t="str">
        <f>CHOOSE(WEEKDAY(Calendrier!K7,2),"L","Ma","Me","J","V","S","D")</f>
        <v>L</v>
      </c>
      <c r="AE7" s="100">
        <f t="shared" si="5"/>
        <v>0</v>
      </c>
      <c r="AF7" s="33">
        <v>3</v>
      </c>
      <c r="AG7" s="87" t="str">
        <f>CHOOSE(WEEKDAY(Calendrier!L7,2),"L","Ma","Me","J","V","S","D")</f>
        <v>Me</v>
      </c>
      <c r="AH7" s="65">
        <f t="shared" si="6"/>
        <v>0.45833333333333337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</v>
      </c>
      <c r="E8" s="33">
        <v>4</v>
      </c>
      <c r="F8" s="87" t="str">
        <f>CHOOSE(WEEKDAY(Calendrier!C8,2),"L","Ma","Me","J","V","S","D")</f>
        <v>J</v>
      </c>
      <c r="G8" s="65">
        <f t="shared" si="0"/>
        <v>0.76041666666666674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</v>
      </c>
      <c r="T8" s="33">
        <v>4</v>
      </c>
      <c r="U8" s="87" t="str">
        <f>CHOOSE(WEEKDAY(Calendrier!H8,2),"L","Ma","Me","J","V","S","D")</f>
        <v>L</v>
      </c>
      <c r="V8" s="100">
        <f t="shared" si="3"/>
        <v>0</v>
      </c>
      <c r="W8" s="33">
        <v>4</v>
      </c>
      <c r="X8" s="87" t="str">
        <f>CHOOSE(WEEKDAY(Calendrier!I8,2),"L","Ma","Me","J","V","S","D")</f>
        <v>J</v>
      </c>
      <c r="Y8" s="65">
        <f t="shared" si="4"/>
        <v>0.76041666666666674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</v>
      </c>
      <c r="AF8" s="33">
        <v>4</v>
      </c>
      <c r="AG8" s="87" t="str">
        <f>CHOOSE(WEEKDAY(Calendrier!L8,2),"L","Ma","Me","J","V","S","D")</f>
        <v>J</v>
      </c>
      <c r="AH8" s="65">
        <f t="shared" si="6"/>
        <v>0.76041666666666674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0.45833333333333337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0.48958333333333331</v>
      </c>
      <c r="H9" s="33">
        <v>5</v>
      </c>
      <c r="I9" s="87" t="str">
        <f>CHOOSE(WEEKDAY(Calendrier!D9,2),"L","Ma","Me","J","V","S","D")</f>
        <v>L</v>
      </c>
      <c r="J9" s="100">
        <f t="shared" si="11"/>
        <v>0</v>
      </c>
      <c r="K9" s="33">
        <v>5</v>
      </c>
      <c r="L9" s="87" t="str">
        <f>CHOOSE(WEEKDAY(Calendrier!E9,2),"L","Ma","Me","J","V","S","D")</f>
        <v>Me</v>
      </c>
      <c r="M9" s="65">
        <f t="shared" si="1"/>
        <v>0.45833333333333337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</v>
      </c>
      <c r="T9" s="33">
        <v>5</v>
      </c>
      <c r="U9" s="87" t="str">
        <f>CHOOSE(WEEKDAY(Calendrier!H9,2),"L","Ma","Me","J","V","S","D")</f>
        <v>Ma</v>
      </c>
      <c r="V9" s="100">
        <f t="shared" si="3"/>
        <v>0</v>
      </c>
      <c r="W9" s="33">
        <v>5</v>
      </c>
      <c r="X9" s="87" t="str">
        <f>CHOOSE(WEEKDAY(Calendrier!I9,2),"L","Ma","Me","J","V","S","D")</f>
        <v>V</v>
      </c>
      <c r="Y9" s="65">
        <f t="shared" si="4"/>
        <v>0.48958333333333331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0.45833333333333337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0.76041666666666674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</v>
      </c>
      <c r="K10" s="33">
        <v>6</v>
      </c>
      <c r="L10" s="87" t="str">
        <f>CHOOSE(WEEKDAY(Calendrier!E10,2),"L","Ma","Me","J","V","S","D")</f>
        <v>J</v>
      </c>
      <c r="M10" s="65">
        <f t="shared" si="1"/>
        <v>0.76041666666666674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0.45833333333333337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0.45833333333333337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0.76041666666666674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0.48958333333333331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0.45833333333333337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0.48958333333333331</v>
      </c>
      <c r="N11" s="33">
        <v>7</v>
      </c>
      <c r="O11" s="87" t="str">
        <f>CHOOSE(WEEKDAY(Calendrier!F11,2),"L","Ma","Me","J","V","S","D")</f>
        <v>L</v>
      </c>
      <c r="P11" s="100">
        <f t="shared" si="12"/>
        <v>0</v>
      </c>
      <c r="Q11" s="33">
        <v>7</v>
      </c>
      <c r="R11" s="87" t="str">
        <f>CHOOSE(WEEKDAY(Calendrier!G11,2),"L","Ma","Me","J","V","S","D")</f>
        <v>J</v>
      </c>
      <c r="S11" s="65">
        <f t="shared" si="2"/>
        <v>0.76041666666666674</v>
      </c>
      <c r="T11" s="33">
        <v>7</v>
      </c>
      <c r="U11" s="87" t="str">
        <f>CHOOSE(WEEKDAY(Calendrier!H11,2),"L","Ma","Me","J","V","S","D")</f>
        <v>J</v>
      </c>
      <c r="V11" s="65">
        <f t="shared" si="3"/>
        <v>0.76041666666666674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0.48958333333333331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</v>
      </c>
      <c r="H12" s="33">
        <v>8</v>
      </c>
      <c r="I12" s="87" t="str">
        <f>CHOOSE(WEEKDAY(Calendrier!D12,2),"L","Ma","Me","J","V","S","D")</f>
        <v>J</v>
      </c>
      <c r="J12" s="65">
        <f t="shared" si="11"/>
        <v>0.76041666666666674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</v>
      </c>
      <c r="Q12" s="33">
        <v>8</v>
      </c>
      <c r="R12" s="87" t="str">
        <f>CHOOSE(WEEKDAY(Calendrier!G12,2),"L","Ma","Me","J","V","S","D")</f>
        <v>V</v>
      </c>
      <c r="S12" s="65">
        <f t="shared" si="2"/>
        <v>0.48958333333333331</v>
      </c>
      <c r="T12" s="33">
        <v>8</v>
      </c>
      <c r="U12" s="87" t="str">
        <f>CHOOSE(WEEKDAY(Calendrier!H12,2),"L","Ma","Me","J","V","S","D")</f>
        <v>V</v>
      </c>
      <c r="V12" s="65">
        <f t="shared" si="3"/>
        <v>0.48958333333333331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0.48958333333333331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0.45833333333333337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0.76041666666666674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0.45833333333333337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0.76041666666666674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0.48958333333333331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</v>
      </c>
      <c r="E15" s="33">
        <v>11</v>
      </c>
      <c r="F15" s="87" t="str">
        <f>CHOOSE(WEEKDAY(Calendrier!C15,2),"L","Ma","Me","J","V","S","D")</f>
        <v>J</v>
      </c>
      <c r="G15" s="65">
        <f t="shared" si="0"/>
        <v>0.76041666666666674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0.48958333333333331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0.45833333333333337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0.48958333333333331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0.45833333333333337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0.45833333333333337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0.76041666666666674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</v>
      </c>
      <c r="K17" s="33">
        <v>13</v>
      </c>
      <c r="L17" s="87" t="str">
        <f>CHOOSE(WEEKDAY(Calendrier!E17,2),"L","Ma","Me","J","V","S","D")</f>
        <v>J</v>
      </c>
      <c r="M17" s="65">
        <f t="shared" si="1"/>
        <v>0.76041666666666674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0.45833333333333337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0.76041666666666674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0.48958333333333331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0.45833333333333337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0.48958333333333331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0.76041666666666674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0.48958333333333331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0.76041666666666674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0.48958333333333331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0.45833333333333337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0.48958333333333331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0.45833333333333337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0.76041666666666674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0.45833333333333337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0.76041666666666674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0.48958333333333331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</v>
      </c>
      <c r="E22" s="33">
        <v>18</v>
      </c>
      <c r="F22" s="87" t="str">
        <f>CHOOSE(WEEKDAY(Calendrier!C22,2),"L","Ma","Me","J","V","S","D")</f>
        <v>J</v>
      </c>
      <c r="G22" s="65">
        <f t="shared" si="0"/>
        <v>0.76041666666666674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0.48958333333333331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0.45833333333333337</v>
      </c>
      <c r="E23" s="33">
        <v>19</v>
      </c>
      <c r="F23" s="87" t="str">
        <f>CHOOSE(WEEKDAY(Calendrier!C23,2),"L","Ma","Me","J","V","S","D")</f>
        <v>V</v>
      </c>
      <c r="G23" s="65">
        <v>0.59375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0.45833333333333337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0.45833333333333337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0.76041666666666674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</v>
      </c>
      <c r="K24" s="33">
        <v>20</v>
      </c>
      <c r="L24" s="87" t="str">
        <f>CHOOSE(WEEKDAY(Calendrier!E24,2),"L","Ma","Me","J","V","S","D")</f>
        <v>J</v>
      </c>
      <c r="M24" s="65">
        <f t="shared" si="1"/>
        <v>0.76041666666666674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0.45833333333333337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0.76041666666666674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0.48958333333333331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0.45833333333333337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0.48958333333333331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0.76041666666666674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0.48958333333333331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0.76041666666666674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0.48958333333333331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0.45833333333333337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0.48958333333333331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0.45833333333333337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0.76041666666666674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0.76041666666666674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0.45833333333333337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0.48958333333333331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0.48958333333333331</v>
      </c>
      <c r="Q29" s="33">
        <v>25</v>
      </c>
      <c r="R29" s="87" t="str">
        <f>CHOOSE(WEEKDAY(Calendrier!G29,2),"L","Ma","Me","J","V","S","D")</f>
        <v>L</v>
      </c>
      <c r="S29" s="100">
        <f t="shared" si="2"/>
        <v>0</v>
      </c>
      <c r="T29" s="33">
        <v>25</v>
      </c>
      <c r="U29" s="87" t="str">
        <f>CHOOSE(WEEKDAY(Calendrier!H29,2),"L","Ma","Me","J","V","S","D")</f>
        <v>L</v>
      </c>
      <c r="V29" s="100">
        <f t="shared" si="3"/>
        <v>0</v>
      </c>
      <c r="W29" s="33">
        <v>25</v>
      </c>
      <c r="X29" s="87" t="str">
        <f>CHOOSE(WEEKDAY(Calendrier!I29,2),"L","Ma","Me","J","V","S","D")</f>
        <v>J</v>
      </c>
      <c r="Y29" s="65">
        <f t="shared" si="4"/>
        <v>0.76041666666666674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0.45833333333333337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0.48958333333333331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0.45833333333333337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0.76041666666666674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0.45833333333333337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0.45833333333333337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0.76041666666666674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0.48958333333333331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0.45833333333333337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</v>
      </c>
      <c r="Q32" s="33">
        <v>28</v>
      </c>
      <c r="R32" s="87" t="str">
        <f>CHOOSE(WEEKDAY(Calendrier!G32,2),"L","Ma","Me","J","V","S","D")</f>
        <v>J</v>
      </c>
      <c r="S32" s="65">
        <f t="shared" si="2"/>
        <v>0.76041666666666674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0.76041666666666674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0.76041666666666674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0.48958333333333331</v>
      </c>
      <c r="W33" s="33">
        <v>29</v>
      </c>
      <c r="X33" s="87" t="str">
        <f>CHOOSE(WEEKDAY(Calendrier!I33,2),"L","Ma","Me","J","V","S","D")</f>
        <v>L</v>
      </c>
      <c r="Y33" s="100">
        <f t="shared" si="4"/>
        <v>0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0.45833333333333337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0.48958333333333331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0.45833333333333337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0.76041666666666674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0.48958333333333331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6.833333333333333</v>
      </c>
      <c r="E36" s="39"/>
      <c r="F36" s="31"/>
      <c r="G36" s="37">
        <f>SUM(G5:G35)</f>
        <v>5.479166666666667</v>
      </c>
      <c r="H36" s="40"/>
      <c r="I36" s="28"/>
      <c r="J36" s="38">
        <f>SUM(J5:J35)</f>
        <v>6.833333333333333</v>
      </c>
      <c r="K36" s="39"/>
      <c r="L36" s="31"/>
      <c r="M36" s="38">
        <f>SUM(M5:M35)</f>
        <v>5.125</v>
      </c>
      <c r="N36" s="39"/>
      <c r="O36" s="32"/>
      <c r="P36" s="38">
        <f>SUM(P5:P35)</f>
        <v>6.34375</v>
      </c>
      <c r="Q36" s="41"/>
      <c r="R36" s="29"/>
      <c r="S36" s="38">
        <f>SUM(S5:S35)</f>
        <v>3.416666666666667</v>
      </c>
      <c r="T36" s="39"/>
      <c r="U36" s="32"/>
      <c r="V36" s="38">
        <f>SUM(V5:V35)</f>
        <v>7.322916666666667</v>
      </c>
      <c r="W36" s="39"/>
      <c r="X36" s="32"/>
      <c r="Y36" s="38">
        <f>SUM(Y5:Y34)</f>
        <v>3.4166666666666665</v>
      </c>
      <c r="Z36" s="39"/>
      <c r="AA36" s="32"/>
      <c r="AB36" s="38">
        <f>SUM(AB5:AB35)</f>
        <v>6.864583333333333</v>
      </c>
      <c r="AC36" s="39"/>
      <c r="AD36" s="32"/>
      <c r="AE36" s="38">
        <f>SUM(AE7:AE34)</f>
        <v>6.71875</v>
      </c>
      <c r="AF36" s="39"/>
      <c r="AG36" s="31"/>
      <c r="AH36" s="38">
        <f>SUM(AH5:AH34)</f>
        <v>1.59375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59.947916666666664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/>
      <c r="E42" s="199" t="s">
        <v>13</v>
      </c>
      <c r="F42" s="200"/>
      <c r="G42" s="81"/>
      <c r="H42" s="199" t="s">
        <v>14</v>
      </c>
      <c r="I42" s="200"/>
      <c r="J42" s="81">
        <v>0.3125</v>
      </c>
      <c r="K42" s="199" t="s">
        <v>15</v>
      </c>
      <c r="L42" s="200"/>
      <c r="M42" s="81">
        <v>0.30208333333333331</v>
      </c>
      <c r="N42" s="199" t="s">
        <v>16</v>
      </c>
      <c r="O42" s="200"/>
      <c r="P42" s="81">
        <v>0.27083333333333331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/>
      <c r="E43" s="201"/>
      <c r="F43" s="202"/>
      <c r="G43" s="81"/>
      <c r="H43" s="201"/>
      <c r="I43" s="202"/>
      <c r="J43" s="81">
        <v>0.77083333333333337</v>
      </c>
      <c r="K43" s="201"/>
      <c r="L43" s="202"/>
      <c r="M43" s="81">
        <v>0.9375</v>
      </c>
      <c r="N43" s="201"/>
      <c r="O43" s="202"/>
      <c r="P43" s="81">
        <v>0.76041666666666663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>
        <v>8.3333333333333329E-2</v>
      </c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64.625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>
        <v>0.20833333333333334</v>
      </c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</v>
      </c>
      <c r="E46" s="203"/>
      <c r="F46" s="204"/>
      <c r="G46" s="82">
        <f>(G43-G42)+(G45-G44)</f>
        <v>0</v>
      </c>
      <c r="H46" s="203"/>
      <c r="I46" s="204"/>
      <c r="J46" s="82">
        <f>(J43-J42)+(J45-J44)</f>
        <v>0.45833333333333337</v>
      </c>
      <c r="K46" s="203"/>
      <c r="L46" s="204"/>
      <c r="M46" s="82">
        <f>(M43-M42)+(M45-M44)</f>
        <v>0.76041666666666674</v>
      </c>
      <c r="N46" s="203"/>
      <c r="O46" s="204"/>
      <c r="P46" s="82">
        <f>(P43-P42)+(P45-P44)</f>
        <v>0.48958333333333331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59.947916666666664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1.7083333333333335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4.6770833333333357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-4.6770833333333357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1</v>
      </c>
      <c r="AQ57" s="109">
        <f>IF(G43="",1,IF(G42="",1,IF((G43-G42)=TIME(0,0,0),1,0)))</f>
        <v>1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0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4.6770833333333357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755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754" priority="54" stopIfTrue="1">
      <formula>IF(C5="S",TRUE,IF(C5="D",TRUE,FALSE))</formula>
    </cfRule>
  </conditionalFormatting>
  <conditionalFormatting sqref="AB49:AK49 AB53:AK53">
    <cfRule type="expression" dxfId="753" priority="53" stopIfTrue="1">
      <formula xml:space="preserve"> IF($G$38=100,IF($P$47&lt;$AI49,TRUE,FALSE),FALSE)</formula>
    </cfRule>
  </conditionalFormatting>
  <conditionalFormatting sqref="R34">
    <cfRule type="cellIs" dxfId="752" priority="51" stopIfTrue="1" operator="equal">
      <formula>"S"</formula>
    </cfRule>
    <cfRule type="cellIs" dxfId="751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750" priority="50" stopIfTrue="1">
      <formula>IF(C5="S",TRUE,IF(C5="D",TRUE,FALSE))</formula>
    </cfRule>
  </conditionalFormatting>
  <conditionalFormatting sqref="P47">
    <cfRule type="cellIs" dxfId="749" priority="48" stopIfTrue="1" operator="lessThan">
      <formula>1.33333333333333</formula>
    </cfRule>
    <cfRule type="cellIs" dxfId="748" priority="49" stopIfTrue="1" operator="greaterThan">
      <formula>1.83333333333333</formula>
    </cfRule>
  </conditionalFormatting>
  <conditionalFormatting sqref="E26:E27">
    <cfRule type="expression" dxfId="747" priority="47" stopIfTrue="1">
      <formula>IF(F26="S",TRUE, IF(F26="D", TRUE,FALSE))</formula>
    </cfRule>
  </conditionalFormatting>
  <conditionalFormatting sqref="E33:E34">
    <cfRule type="expression" dxfId="746" priority="46" stopIfTrue="1">
      <formula>IF(F33="S",TRUE, IF(F33="D", TRUE,FALSE))</formula>
    </cfRule>
  </conditionalFormatting>
  <conditionalFormatting sqref="H13">
    <cfRule type="expression" dxfId="745" priority="45" stopIfTrue="1">
      <formula>IF(I13="S",TRUE, IF(I13="D", TRUE,FALSE))</formula>
    </cfRule>
  </conditionalFormatting>
  <conditionalFormatting sqref="N8">
    <cfRule type="expression" dxfId="744" priority="44" stopIfTrue="1">
      <formula>IF(O8="S",TRUE, IF(O8="D", TRUE,FALSE))</formula>
    </cfRule>
  </conditionalFormatting>
  <conditionalFormatting sqref="K34:K35 K26:K28">
    <cfRule type="expression" dxfId="743" priority="43" stopIfTrue="1">
      <formula>IF(L26="S",TRUE, IF(L26="D", TRUE,FALSE))</formula>
    </cfRule>
  </conditionalFormatting>
  <conditionalFormatting sqref="T5:T8">
    <cfRule type="expression" dxfId="742" priority="42" stopIfTrue="1">
      <formula>IF(U5="S",TRUE, IF(U5="D", TRUE,FALSE))</formula>
    </cfRule>
  </conditionalFormatting>
  <conditionalFormatting sqref="Q26:Q30">
    <cfRule type="expression" dxfId="741" priority="41" stopIfTrue="1">
      <formula>IF(R26="S",TRUE, IF(R26="D", TRUE,FALSE))</formula>
    </cfRule>
  </conditionalFormatting>
  <conditionalFormatting sqref="Z20">
    <cfRule type="expression" dxfId="740" priority="40" stopIfTrue="1">
      <formula>IF(AA20="S",TRUE, IF(AA20="D", TRUE,FALSE))</formula>
    </cfRule>
  </conditionalFormatting>
  <conditionalFormatting sqref="W23">
    <cfRule type="expression" dxfId="739" priority="39" stopIfTrue="1">
      <formula>IF(X23="S",TRUE, IF(X23="D", TRUE,FALSE))</formula>
    </cfRule>
  </conditionalFormatting>
  <conditionalFormatting sqref="W29:W33">
    <cfRule type="expression" dxfId="738" priority="38" stopIfTrue="1">
      <formula>IF(X29="S",TRUE, IF(X29="D", TRUE,FALSE))</formula>
    </cfRule>
  </conditionalFormatting>
  <conditionalFormatting sqref="Z8 Z10">
    <cfRule type="expression" dxfId="737" priority="37" stopIfTrue="1">
      <formula>IF(AA8="S",TRUE, IF(AA8="D", TRUE,FALSE))</formula>
    </cfRule>
  </conditionalFormatting>
  <conditionalFormatting sqref="Z9">
    <cfRule type="expression" dxfId="736" priority="36" stopIfTrue="1">
      <formula>IF(AA9="S",TRUE, IF(AA9="D", TRUE,FALSE))</formula>
    </cfRule>
  </conditionalFormatting>
  <conditionalFormatting sqref="W10">
    <cfRule type="expression" dxfId="735" priority="35" stopIfTrue="1">
      <formula>IF(X10="S",TRUE, IF(X10="D", TRUE,FALSE))</formula>
    </cfRule>
  </conditionalFormatting>
  <conditionalFormatting sqref="AB29">
    <cfRule type="expression" dxfId="734" priority="34" stopIfTrue="1">
      <formula>IF(AA29="S",TRUE,IF(AA29="D",TRUE,FALSE))</formula>
    </cfRule>
  </conditionalFormatting>
  <conditionalFormatting sqref="Q33">
    <cfRule type="expression" dxfId="733" priority="33" stopIfTrue="1">
      <formula>IF(R33="S",TRUE, IF(R33="D", TRUE,FALSE))</formula>
    </cfRule>
  </conditionalFormatting>
  <conditionalFormatting sqref="T32">
    <cfRule type="expression" dxfId="732" priority="32" stopIfTrue="1">
      <formula>IF(U32="S",TRUE, IF(U32="D", TRUE,FALSE))</formula>
    </cfRule>
  </conditionalFormatting>
  <conditionalFormatting sqref="E23:E25">
    <cfRule type="expression" dxfId="731" priority="31" stopIfTrue="1">
      <formula>IF(F23="S",TRUE, IF(F23="D", TRUE,FALSE))</formula>
    </cfRule>
  </conditionalFormatting>
  <conditionalFormatting sqref="E28:E32">
    <cfRule type="expression" dxfId="730" priority="30" stopIfTrue="1">
      <formula>IF(F28="S",TRUE, IF(F28="D", TRUE,FALSE))</formula>
    </cfRule>
  </conditionalFormatting>
  <conditionalFormatting sqref="E35">
    <cfRule type="expression" dxfId="729" priority="29" stopIfTrue="1">
      <formula>IF(F35="S",TRUE, IF(F35="D", TRUE,FALSE))</formula>
    </cfRule>
  </conditionalFormatting>
  <conditionalFormatting sqref="G23:G25">
    <cfRule type="expression" dxfId="728" priority="28" stopIfTrue="1">
      <formula>IF(F23="S",TRUE,IF(F23="D",TRUE,FALSE))</formula>
    </cfRule>
  </conditionalFormatting>
  <conditionalFormatting sqref="G28:G32">
    <cfRule type="expression" dxfId="727" priority="27" stopIfTrue="1">
      <formula>IF(F28="S",TRUE,IF(F28="D",TRUE,FALSE))</formula>
    </cfRule>
  </conditionalFormatting>
  <conditionalFormatting sqref="G35">
    <cfRule type="expression" dxfId="726" priority="26" stopIfTrue="1">
      <formula>IF(F35="S",TRUE,IF(F35="D",TRUE,FALSE))</formula>
    </cfRule>
  </conditionalFormatting>
  <conditionalFormatting sqref="K30:K33">
    <cfRule type="expression" dxfId="725" priority="25" stopIfTrue="1">
      <formula>IF(L30="S",TRUE, IF(L30="D", TRUE,FALSE))</formula>
    </cfRule>
  </conditionalFormatting>
  <conditionalFormatting sqref="N6:N7">
    <cfRule type="expression" dxfId="724" priority="24" stopIfTrue="1">
      <formula>IF(O6="S",TRUE, IF(O6="D", TRUE,FALSE))</formula>
    </cfRule>
  </conditionalFormatting>
  <conditionalFormatting sqref="Q31:Q32">
    <cfRule type="expression" dxfId="723" priority="23" stopIfTrue="1">
      <formula>IF(R31="S",TRUE, IF(R31="D", TRUE,FALSE))</formula>
    </cfRule>
  </conditionalFormatting>
  <conditionalFormatting sqref="H5:H7">
    <cfRule type="expression" dxfId="722" priority="22" stopIfTrue="1">
      <formula>IF(I5="S",TRUE, IF(I5="D", TRUE,FALSE))</formula>
    </cfRule>
  </conditionalFormatting>
  <conditionalFormatting sqref="H15">
    <cfRule type="expression" dxfId="721" priority="21" stopIfTrue="1">
      <formula>IF(I15="S",TRUE, IF(I15="D", TRUE,FALSE))</formula>
    </cfRule>
  </conditionalFormatting>
  <conditionalFormatting sqref="T10:T12">
    <cfRule type="expression" dxfId="720" priority="20" stopIfTrue="1">
      <formula>IF(U10="S",TRUE, IF(U10="D", TRUE,FALSE))</formula>
    </cfRule>
  </conditionalFormatting>
  <conditionalFormatting sqref="W21">
    <cfRule type="expression" dxfId="719" priority="19" stopIfTrue="1">
      <formula>IF(X21="S",TRUE, IF(X21="D", TRUE,FALSE))</formula>
    </cfRule>
  </conditionalFormatting>
  <conditionalFormatting sqref="Z5:Z7">
    <cfRule type="expression" dxfId="718" priority="18" stopIfTrue="1">
      <formula>IF(AA5="S",TRUE, IF(AA5="D", TRUE,FALSE))</formula>
    </cfRule>
  </conditionalFormatting>
  <conditionalFormatting sqref="Z12:Z15">
    <cfRule type="expression" dxfId="717" priority="17" stopIfTrue="1">
      <formula>IF(AA12="S",TRUE, IF(AA12="D", TRUE,FALSE))</formula>
    </cfRule>
  </conditionalFormatting>
  <conditionalFormatting sqref="Z29">
    <cfRule type="expression" dxfId="716" priority="16" stopIfTrue="1">
      <formula>IF(AA29="S",TRUE, IF(AA29="D", TRUE,FALSE))</formula>
    </cfRule>
  </conditionalFormatting>
  <conditionalFormatting sqref="AB54:AK54">
    <cfRule type="expression" dxfId="715" priority="15" stopIfTrue="1">
      <formula>IF($P$47&gt;#REF!,TRUE,FALSE)</formula>
    </cfRule>
  </conditionalFormatting>
  <conditionalFormatting sqref="T9">
    <cfRule type="expression" dxfId="714" priority="14" stopIfTrue="1">
      <formula>IF(U9="S",TRUE, IF(U9="D", TRUE,FALSE))</formula>
    </cfRule>
  </conditionalFormatting>
  <conditionalFormatting sqref="Z11">
    <cfRule type="expression" dxfId="713" priority="13" stopIfTrue="1">
      <formula>IF(AA11="S",TRUE, IF(AA11="D", TRUE,FALSE))</formula>
    </cfRule>
  </conditionalFormatting>
  <conditionalFormatting sqref="AK32">
    <cfRule type="expression" dxfId="712" priority="12" stopIfTrue="1">
      <formula>IF(AJ32="S",TRUE,IF(AJ32="D",TRUE,FALSE))</formula>
    </cfRule>
  </conditionalFormatting>
  <conditionalFormatting sqref="AK31">
    <cfRule type="expression" dxfId="711" priority="11" stopIfTrue="1">
      <formula>IF(AJ31="S",TRUE,IF(AJ31="D",TRUE,FALSE))</formula>
    </cfRule>
  </conditionalFormatting>
  <conditionalFormatting sqref="AK30">
    <cfRule type="expression" dxfId="710" priority="10" stopIfTrue="1">
      <formula>IF(AJ30="S",TRUE,IF(AJ30="D",TRUE,FALSE))</formula>
    </cfRule>
  </conditionalFormatting>
  <conditionalFormatting sqref="AH14">
    <cfRule type="expression" dxfId="709" priority="9" stopIfTrue="1">
      <formula>IF(AG14="S",TRUE,IF(AG14="D",TRUE,FALSE))</formula>
    </cfRule>
  </conditionalFormatting>
  <conditionalFormatting sqref="AH15">
    <cfRule type="expression" dxfId="708" priority="8" stopIfTrue="1">
      <formula>IF(AG15="S",TRUE,IF(AG15="D",TRUE,FALSE))</formula>
    </cfRule>
  </conditionalFormatting>
  <conditionalFormatting sqref="AH16">
    <cfRule type="expression" dxfId="707" priority="7" stopIfTrue="1">
      <formula>IF(AG16="S",TRUE,IF(AG16="D",TRUE,FALSE))</formula>
    </cfRule>
  </conditionalFormatting>
  <conditionalFormatting sqref="G26:G27">
    <cfRule type="expression" dxfId="706" priority="6" stopIfTrue="1">
      <formula>IF(F26="S",TRUE,IF(F26="D",TRUE,FALSE))</formula>
    </cfRule>
  </conditionalFormatting>
  <conditionalFormatting sqref="G28:G30">
    <cfRule type="expression" dxfId="705" priority="5" stopIfTrue="1">
      <formula>IF(F28="S",TRUE,IF(F28="D",TRUE,FALSE))</formula>
    </cfRule>
  </conditionalFormatting>
  <conditionalFormatting sqref="AH12:AH13">
    <cfRule type="expression" dxfId="704" priority="4" stopIfTrue="1">
      <formula>IF(AG12="S",TRUE,IF(AG12="D",TRUE,FALSE))</formula>
    </cfRule>
  </conditionalFormatting>
  <conditionalFormatting sqref="AH14:AH16">
    <cfRule type="expression" dxfId="703" priority="3" stopIfTrue="1">
      <formula>IF(AG14="S",TRUE,IF(AG14="D",TRUE,FALSE))</formula>
    </cfRule>
  </conditionalFormatting>
  <conditionalFormatting sqref="AK30:AK31">
    <cfRule type="expression" dxfId="702" priority="2" stopIfTrue="1">
      <formula>IF(AJ30="S",TRUE,IF(AJ30="D",TRUE,FALSE))</formula>
    </cfRule>
  </conditionalFormatting>
  <conditionalFormatting sqref="AK32:AK34">
    <cfRule type="expression" dxfId="701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3185" r:id="rId4" name="ComboBox1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39">
    <tabColor rgb="FFFF0000"/>
    <pageSetUpPr fitToPage="1"/>
  </sheetPr>
  <dimension ref="B1:BA74"/>
  <sheetViews>
    <sheetView showGridLines="0" zoomScaleNormal="115" workbookViewId="0">
      <selection activeCell="G21" sqref="G21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0.20833333333333337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0.45833333333333337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0.45833333333333337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0.20833333333333337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0.20833333333333337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0.16666666666666669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0.16666666666666669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0.45833333333333337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0.16666666666666669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0.20833333333333337</v>
      </c>
      <c r="E7" s="33">
        <v>3</v>
      </c>
      <c r="F7" s="87" t="str">
        <f>CHOOSE(WEEKDAY(Calendrier!C7,2),"L","Ma","Me","J","V","S","D")</f>
        <v>Me</v>
      </c>
      <c r="G7" s="65">
        <f t="shared" si="0"/>
        <v>0.45833333333333337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0.20833333333333337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0.45833333333333337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0.45833333333333337</v>
      </c>
      <c r="AC7" s="33">
        <v>3</v>
      </c>
      <c r="AD7" s="87" t="str">
        <f>CHOOSE(WEEKDAY(Calendrier!K7,2),"L","Ma","Me","J","V","S","D")</f>
        <v>L</v>
      </c>
      <c r="AE7" s="100">
        <f t="shared" si="5"/>
        <v>0.20833333333333337</v>
      </c>
      <c r="AF7" s="33">
        <v>3</v>
      </c>
      <c r="AG7" s="87" t="str">
        <f>CHOOSE(WEEKDAY(Calendrier!L7,2),"L","Ma","Me","J","V","S","D")</f>
        <v>Me</v>
      </c>
      <c r="AH7" s="65">
        <f t="shared" si="6"/>
        <v>0.45833333333333337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0.16666666666666669</v>
      </c>
      <c r="E8" s="33">
        <v>4</v>
      </c>
      <c r="F8" s="87" t="str">
        <f>CHOOSE(WEEKDAY(Calendrier!C8,2),"L","Ma","Me","J","V","S","D")</f>
        <v>J</v>
      </c>
      <c r="G8" s="65">
        <f t="shared" si="0"/>
        <v>0.45833333333333337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v>0.625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0.20833333333333337</v>
      </c>
      <c r="T8" s="33">
        <v>4</v>
      </c>
      <c r="U8" s="87" t="str">
        <f>CHOOSE(WEEKDAY(Calendrier!H8,2),"L","Ma","Me","J","V","S","D")</f>
        <v>L</v>
      </c>
      <c r="V8" s="100">
        <f t="shared" si="3"/>
        <v>0.20833333333333337</v>
      </c>
      <c r="W8" s="33">
        <v>4</v>
      </c>
      <c r="X8" s="87" t="str">
        <f>CHOOSE(WEEKDAY(Calendrier!I8,2),"L","Ma","Me","J","V","S","D")</f>
        <v>J</v>
      </c>
      <c r="Y8" s="65">
        <f t="shared" si="4"/>
        <v>0.45833333333333337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0.16666666666666669</v>
      </c>
      <c r="AF8" s="33">
        <v>4</v>
      </c>
      <c r="AG8" s="87" t="str">
        <f>CHOOSE(WEEKDAY(Calendrier!L8,2),"L","Ma","Me","J","V","S","D")</f>
        <v>J</v>
      </c>
      <c r="AH8" s="65">
        <f t="shared" si="6"/>
        <v>0.45833333333333337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0.45833333333333337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0.45833333333333337</v>
      </c>
      <c r="H9" s="33">
        <v>5</v>
      </c>
      <c r="I9" s="87" t="str">
        <f>CHOOSE(WEEKDAY(Calendrier!D9,2),"L","Ma","Me","J","V","S","D")</f>
        <v>L</v>
      </c>
      <c r="J9" s="100">
        <f t="shared" si="11"/>
        <v>0.20833333333333337</v>
      </c>
      <c r="K9" s="33">
        <v>5</v>
      </c>
      <c r="L9" s="87" t="str">
        <f>CHOOSE(WEEKDAY(Calendrier!E9,2),"L","Ma","Me","J","V","S","D")</f>
        <v>Me</v>
      </c>
      <c r="M9" s="65">
        <f t="shared" si="1"/>
        <v>0.45833333333333337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0.16666666666666669</v>
      </c>
      <c r="T9" s="33">
        <v>5</v>
      </c>
      <c r="U9" s="87" t="str">
        <f>CHOOSE(WEEKDAY(Calendrier!H9,2),"L","Ma","Me","J","V","S","D")</f>
        <v>Ma</v>
      </c>
      <c r="V9" s="100">
        <f t="shared" si="3"/>
        <v>0.16666666666666669</v>
      </c>
      <c r="W9" s="33">
        <v>5</v>
      </c>
      <c r="X9" s="87" t="str">
        <f>CHOOSE(WEEKDAY(Calendrier!I9,2),"L","Ma","Me","J","V","S","D")</f>
        <v>V</v>
      </c>
      <c r="Y9" s="65">
        <f t="shared" si="4"/>
        <v>0.45833333333333337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0.45833333333333337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0.45833333333333337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0.16666666666666669</v>
      </c>
      <c r="K10" s="33">
        <v>6</v>
      </c>
      <c r="L10" s="87" t="str">
        <f>CHOOSE(WEEKDAY(Calendrier!E10,2),"L","Ma","Me","J","V","S","D")</f>
        <v>J</v>
      </c>
      <c r="M10" s="65">
        <f t="shared" si="1"/>
        <v>0.45833333333333337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0.45833333333333337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0.45833333333333337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0.20833333333333337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0.45833333333333337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0.45833333333333337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0.45833333333333337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0.45833333333333337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0.20833333333333337</v>
      </c>
      <c r="Q11" s="33">
        <v>7</v>
      </c>
      <c r="R11" s="87" t="str">
        <f>CHOOSE(WEEKDAY(Calendrier!G11,2),"L","Ma","Me","J","V","S","D")</f>
        <v>J</v>
      </c>
      <c r="S11" s="65">
        <f t="shared" si="2"/>
        <v>0.45833333333333337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0.45833333333333337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0.16666666666666669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0.45833333333333337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0.20833333333333337</v>
      </c>
      <c r="H12" s="33">
        <v>8</v>
      </c>
      <c r="I12" s="87" t="str">
        <f>CHOOSE(WEEKDAY(Calendrier!D12,2),"L","Ma","Me","J","V","S","D")</f>
        <v>J</v>
      </c>
      <c r="J12" s="65">
        <f t="shared" si="11"/>
        <v>0.45833333333333337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0.16666666666666669</v>
      </c>
      <c r="Q12" s="33">
        <v>8</v>
      </c>
      <c r="R12" s="87" t="str">
        <f>CHOOSE(WEEKDAY(Calendrier!G12,2),"L","Ma","Me","J","V","S","D")</f>
        <v>V</v>
      </c>
      <c r="S12" s="65">
        <f t="shared" si="2"/>
        <v>0.45833333333333337</v>
      </c>
      <c r="T12" s="33">
        <v>8</v>
      </c>
      <c r="U12" s="87" t="str">
        <f>CHOOSE(WEEKDAY(Calendrier!H12,2),"L","Ma","Me","J","V","S","D")</f>
        <v>V</v>
      </c>
      <c r="V12" s="65">
        <f t="shared" si="3"/>
        <v>0.45833333333333337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0.16666666666666669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0.45833333333333337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0.45833333333333337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0.45833333333333337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0.20833333333333337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0.45833333333333337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0.20833333333333337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0.45833333333333337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0.45833333333333337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0.16666666666666669</v>
      </c>
      <c r="E15" s="33">
        <v>11</v>
      </c>
      <c r="F15" s="87" t="str">
        <f>CHOOSE(WEEKDAY(Calendrier!C15,2),"L","Ma","Me","J","V","S","D")</f>
        <v>J</v>
      </c>
      <c r="G15" s="65">
        <f t="shared" si="0"/>
        <v>0.45833333333333337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0.16666666666666669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0.45833333333333337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0.20833333333333337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0.16666666666666669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0.45833333333333337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0.45833333333333337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0.20833333333333337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0.45833333333333337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0.16666666666666669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0.45833333333333337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0.45833333333333337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0.16666666666666669</v>
      </c>
      <c r="K17" s="33">
        <v>13</v>
      </c>
      <c r="L17" s="87" t="str">
        <f>CHOOSE(WEEKDAY(Calendrier!E17,2),"L","Ma","Me","J","V","S","D")</f>
        <v>J</v>
      </c>
      <c r="M17" s="65">
        <f t="shared" si="1"/>
        <v>0.45833333333333337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0.45833333333333337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0.20833333333333337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0.45833333333333337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0.45833333333333337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0.45833333333333337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0.45833333333333337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0.20833333333333337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0.45833333333333337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0.16666666666666669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0.45833333333333337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0.20833333333333337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0.45833333333333337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0.16666666666666669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0.45833333333333337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0.45833333333333337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v>0.54166666666666663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0.45833333333333337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0.45833333333333337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0.45833333333333337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0.20833333333333337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0.45833333333333337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0.20833333333333337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0.45833333333333337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0.45833333333333337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0.20833333333333337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0.16666666666666669</v>
      </c>
      <c r="E22" s="33">
        <v>18</v>
      </c>
      <c r="F22" s="87" t="str">
        <f>CHOOSE(WEEKDAY(Calendrier!C22,2),"L","Ma","Me","J","V","S","D")</f>
        <v>J</v>
      </c>
      <c r="G22" s="65">
        <f t="shared" si="0"/>
        <v>0.45833333333333337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0.16666666666666669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0.45833333333333337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0.20833333333333337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0.16666666666666669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0.45833333333333337</v>
      </c>
      <c r="E23" s="33">
        <v>19</v>
      </c>
      <c r="F23" s="87" t="str">
        <f>CHOOSE(WEEKDAY(Calendrier!C23,2),"L","Ma","Me","J","V","S","D")</f>
        <v>V</v>
      </c>
      <c r="G23" s="65">
        <v>0.5625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0.20833333333333337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0.45833333333333337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0.16666666666666669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0.45833333333333337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0.45833333333333337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0.16666666666666669</v>
      </c>
      <c r="K24" s="33">
        <v>20</v>
      </c>
      <c r="L24" s="87" t="str">
        <f>CHOOSE(WEEKDAY(Calendrier!E24,2),"L","Ma","Me","J","V","S","D")</f>
        <v>J</v>
      </c>
      <c r="M24" s="65">
        <f t="shared" si="1"/>
        <v>0.45833333333333337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0.45833333333333337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0.20833333333333337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0.45833333333333337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0.45833333333333337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0.45833333333333337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0.45833333333333337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0.20833333333333337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0.45833333333333337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0.16666666666666669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0.45833333333333337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0.45833333333333337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0.16666666666666669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0.45833333333333337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0.45833333333333337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0.45833333333333337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0.45833333333333337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0.16666666666666669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0.45833333333333337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0.20833333333333337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0.45833333333333337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0.45833333333333337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0.45833333333333337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0.20833333333333337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0.16666666666666669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0.45833333333333337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0.20833333333333337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0.20833333333333337</v>
      </c>
      <c r="W29" s="33">
        <v>25</v>
      </c>
      <c r="X29" s="87" t="str">
        <f>CHOOSE(WEEKDAY(Calendrier!I29,2),"L","Ma","Me","J","V","S","D")</f>
        <v>J</v>
      </c>
      <c r="Y29" s="65">
        <f t="shared" si="4"/>
        <v>0.45833333333333337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0.16666666666666669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0.45833333333333337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0.20833333333333337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0.16666666666666669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0.16666666666666669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0.45833333333333337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0.45833333333333337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0.45833333333333337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0.16666666666666669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0.45833333333333337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0.45833333333333337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0.20833333333333337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0.45833333333333337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0.45833333333333337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0.45833333333333337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0.20833333333333337</v>
      </c>
      <c r="Q32" s="33">
        <v>28</v>
      </c>
      <c r="R32" s="87" t="str">
        <f>CHOOSE(WEEKDAY(Calendrier!G32,2),"L","Ma","Me","J","V","S","D")</f>
        <v>J</v>
      </c>
      <c r="S32" s="65">
        <f t="shared" si="2"/>
        <v>0.45833333333333337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0.45833333333333337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0.16666666666666669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v>0.83333333333333337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0.16666666666666669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0.45833333333333337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0.20833333333333337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0.45833333333333337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0.45833333333333337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0.45833333333333337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0.16666666666666669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0.45833333333333337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0.45833333333333337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6.9999999999999991</v>
      </c>
      <c r="E36" s="39"/>
      <c r="F36" s="31"/>
      <c r="G36" s="37">
        <f>SUM(G5:G35)</f>
        <v>5.979166666666667</v>
      </c>
      <c r="H36" s="40"/>
      <c r="I36" s="28"/>
      <c r="J36" s="38">
        <f>SUM(J5:J35)</f>
        <v>7.3749999999999991</v>
      </c>
      <c r="K36" s="39"/>
      <c r="L36" s="31"/>
      <c r="M36" s="38">
        <f>SUM(M5:M35)</f>
        <v>5.708333333333333</v>
      </c>
      <c r="N36" s="39"/>
      <c r="O36" s="32"/>
      <c r="P36" s="38">
        <f>SUM(P5:P35)</f>
        <v>6.5416666666666661</v>
      </c>
      <c r="Q36" s="41"/>
      <c r="R36" s="29"/>
      <c r="S36" s="38">
        <f>SUM(S5:S35)</f>
        <v>3.5000000000000009</v>
      </c>
      <c r="T36" s="39"/>
      <c r="U36" s="32"/>
      <c r="V36" s="38">
        <f>SUM(V5:V35)</f>
        <v>7.458333333333333</v>
      </c>
      <c r="W36" s="39"/>
      <c r="X36" s="32"/>
      <c r="Y36" s="38">
        <f>SUM(Y5:Y34)</f>
        <v>3.6666666666666674</v>
      </c>
      <c r="Z36" s="39"/>
      <c r="AA36" s="32"/>
      <c r="AB36" s="38">
        <f>SUM(AB5:AB35)</f>
        <v>6.9999999999999991</v>
      </c>
      <c r="AC36" s="39"/>
      <c r="AD36" s="32"/>
      <c r="AE36" s="38">
        <f>SUM(AE7:AE34)</f>
        <v>6.708333333333333</v>
      </c>
      <c r="AF36" s="39"/>
      <c r="AG36" s="31"/>
      <c r="AH36" s="38">
        <f>SUM(AH5:AH34)</f>
        <v>1.666666666666667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62.604166666666664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0.72916666666666663</v>
      </c>
      <c r="E42" s="199" t="s">
        <v>13</v>
      </c>
      <c r="F42" s="200"/>
      <c r="G42" s="81">
        <v>8.3333333333333329E-2</v>
      </c>
      <c r="H42" s="199" t="s">
        <v>14</v>
      </c>
      <c r="I42" s="200"/>
      <c r="J42" s="81">
        <v>0.3125</v>
      </c>
      <c r="K42" s="199" t="s">
        <v>15</v>
      </c>
      <c r="L42" s="200"/>
      <c r="M42" s="81">
        <v>0.3125</v>
      </c>
      <c r="N42" s="199" t="s">
        <v>16</v>
      </c>
      <c r="O42" s="200"/>
      <c r="P42" s="81">
        <v>0.3125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0.9375</v>
      </c>
      <c r="E43" s="201"/>
      <c r="F43" s="202"/>
      <c r="G43" s="81">
        <v>0.20833333333333334</v>
      </c>
      <c r="H43" s="201"/>
      <c r="I43" s="202"/>
      <c r="J43" s="81">
        <v>0.77083333333333337</v>
      </c>
      <c r="K43" s="201"/>
      <c r="L43" s="202"/>
      <c r="M43" s="81">
        <v>0.77083333333333337</v>
      </c>
      <c r="N43" s="201"/>
      <c r="O43" s="202"/>
      <c r="P43" s="81">
        <v>0.77083333333333337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0.27083333333333331</v>
      </c>
      <c r="H44" s="201"/>
      <c r="I44" s="202"/>
      <c r="J44" s="81"/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64.625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0.3125</v>
      </c>
      <c r="H45" s="201"/>
      <c r="I45" s="202"/>
      <c r="J45" s="81"/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0.20833333333333337</v>
      </c>
      <c r="E46" s="203"/>
      <c r="F46" s="204"/>
      <c r="G46" s="82">
        <f>(G43-G42)+(G45-G44)</f>
        <v>0.16666666666666669</v>
      </c>
      <c r="H46" s="203"/>
      <c r="I46" s="204"/>
      <c r="J46" s="82">
        <f>(J43-J42)+(J45-J44)</f>
        <v>0.45833333333333337</v>
      </c>
      <c r="K46" s="203"/>
      <c r="L46" s="204"/>
      <c r="M46" s="82">
        <f>(M43-M42)+(M45-M44)</f>
        <v>0.45833333333333337</v>
      </c>
      <c r="N46" s="203"/>
      <c r="O46" s="204"/>
      <c r="P46" s="82">
        <f>(P43-P42)+(P45-P44)</f>
        <v>0.45833333333333337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62.604166666666664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0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2.0208333333333357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-2.0208333333333357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2.0208333333333357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700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699" priority="54" stopIfTrue="1">
      <formula>IF(C5="S",TRUE,IF(C5="D",TRUE,FALSE))</formula>
    </cfRule>
  </conditionalFormatting>
  <conditionalFormatting sqref="AB49:AK49 AB53:AK53">
    <cfRule type="expression" dxfId="698" priority="53" stopIfTrue="1">
      <formula xml:space="preserve"> IF($G$38=100,IF($P$47&lt;$AI49,TRUE,FALSE),FALSE)</formula>
    </cfRule>
  </conditionalFormatting>
  <conditionalFormatting sqref="R34">
    <cfRule type="cellIs" dxfId="697" priority="51" stopIfTrue="1" operator="equal">
      <formula>"S"</formula>
    </cfRule>
    <cfRule type="cellIs" dxfId="696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695" priority="50" stopIfTrue="1">
      <formula>IF(C5="S",TRUE,IF(C5="D",TRUE,FALSE))</formula>
    </cfRule>
  </conditionalFormatting>
  <conditionalFormatting sqref="P47">
    <cfRule type="cellIs" dxfId="694" priority="48" stopIfTrue="1" operator="lessThan">
      <formula>1.33333333333333</formula>
    </cfRule>
    <cfRule type="cellIs" dxfId="693" priority="49" stopIfTrue="1" operator="greaterThan">
      <formula>1.83333333333333</formula>
    </cfRule>
  </conditionalFormatting>
  <conditionalFormatting sqref="E26:E27">
    <cfRule type="expression" dxfId="692" priority="47" stopIfTrue="1">
      <formula>IF(F26="S",TRUE, IF(F26="D", TRUE,FALSE))</formula>
    </cfRule>
  </conditionalFormatting>
  <conditionalFormatting sqref="E33:E34">
    <cfRule type="expression" dxfId="691" priority="46" stopIfTrue="1">
      <formula>IF(F33="S",TRUE, IF(F33="D", TRUE,FALSE))</formula>
    </cfRule>
  </conditionalFormatting>
  <conditionalFormatting sqref="H13">
    <cfRule type="expression" dxfId="690" priority="45" stopIfTrue="1">
      <formula>IF(I13="S",TRUE, IF(I13="D", TRUE,FALSE))</formula>
    </cfRule>
  </conditionalFormatting>
  <conditionalFormatting sqref="N8">
    <cfRule type="expression" dxfId="689" priority="44" stopIfTrue="1">
      <formula>IF(O8="S",TRUE, IF(O8="D", TRUE,FALSE))</formula>
    </cfRule>
  </conditionalFormatting>
  <conditionalFormatting sqref="K34:K35 K26:K28">
    <cfRule type="expression" dxfId="688" priority="43" stopIfTrue="1">
      <formula>IF(L26="S",TRUE, IF(L26="D", TRUE,FALSE))</formula>
    </cfRule>
  </conditionalFormatting>
  <conditionalFormatting sqref="T5:T8">
    <cfRule type="expression" dxfId="687" priority="42" stopIfTrue="1">
      <formula>IF(U5="S",TRUE, IF(U5="D", TRUE,FALSE))</formula>
    </cfRule>
  </conditionalFormatting>
  <conditionalFormatting sqref="Q26:Q30">
    <cfRule type="expression" dxfId="686" priority="41" stopIfTrue="1">
      <formula>IF(R26="S",TRUE, IF(R26="D", TRUE,FALSE))</formula>
    </cfRule>
  </conditionalFormatting>
  <conditionalFormatting sqref="Z20">
    <cfRule type="expression" dxfId="685" priority="40" stopIfTrue="1">
      <formula>IF(AA20="S",TRUE, IF(AA20="D", TRUE,FALSE))</formula>
    </cfRule>
  </conditionalFormatting>
  <conditionalFormatting sqref="W23">
    <cfRule type="expression" dxfId="684" priority="39" stopIfTrue="1">
      <formula>IF(X23="S",TRUE, IF(X23="D", TRUE,FALSE))</formula>
    </cfRule>
  </conditionalFormatting>
  <conditionalFormatting sqref="W29:W33">
    <cfRule type="expression" dxfId="683" priority="38" stopIfTrue="1">
      <formula>IF(X29="S",TRUE, IF(X29="D", TRUE,FALSE))</formula>
    </cfRule>
  </conditionalFormatting>
  <conditionalFormatting sqref="Z8 Z10">
    <cfRule type="expression" dxfId="682" priority="37" stopIfTrue="1">
      <formula>IF(AA8="S",TRUE, IF(AA8="D", TRUE,FALSE))</formula>
    </cfRule>
  </conditionalFormatting>
  <conditionalFormatting sqref="Z9">
    <cfRule type="expression" dxfId="681" priority="36" stopIfTrue="1">
      <formula>IF(AA9="S",TRUE, IF(AA9="D", TRUE,FALSE))</formula>
    </cfRule>
  </conditionalFormatting>
  <conditionalFormatting sqref="W10">
    <cfRule type="expression" dxfId="680" priority="35" stopIfTrue="1">
      <formula>IF(X10="S",TRUE, IF(X10="D", TRUE,FALSE))</formula>
    </cfRule>
  </conditionalFormatting>
  <conditionalFormatting sqref="AB29">
    <cfRule type="expression" dxfId="679" priority="34" stopIfTrue="1">
      <formula>IF(AA29="S",TRUE,IF(AA29="D",TRUE,FALSE))</formula>
    </cfRule>
  </conditionalFormatting>
  <conditionalFormatting sqref="Q33">
    <cfRule type="expression" dxfId="678" priority="33" stopIfTrue="1">
      <formula>IF(R33="S",TRUE, IF(R33="D", TRUE,FALSE))</formula>
    </cfRule>
  </conditionalFormatting>
  <conditionalFormatting sqref="T32">
    <cfRule type="expression" dxfId="677" priority="32" stopIfTrue="1">
      <formula>IF(U32="S",TRUE, IF(U32="D", TRUE,FALSE))</formula>
    </cfRule>
  </conditionalFormatting>
  <conditionalFormatting sqref="E23:E25">
    <cfRule type="expression" dxfId="676" priority="31" stopIfTrue="1">
      <formula>IF(F23="S",TRUE, IF(F23="D", TRUE,FALSE))</formula>
    </cfRule>
  </conditionalFormatting>
  <conditionalFormatting sqref="E28:E32">
    <cfRule type="expression" dxfId="675" priority="30" stopIfTrue="1">
      <formula>IF(F28="S",TRUE, IF(F28="D", TRUE,FALSE))</formula>
    </cfRule>
  </conditionalFormatting>
  <conditionalFormatting sqref="E35">
    <cfRule type="expression" dxfId="674" priority="29" stopIfTrue="1">
      <formula>IF(F35="S",TRUE, IF(F35="D", TRUE,FALSE))</formula>
    </cfRule>
  </conditionalFormatting>
  <conditionalFormatting sqref="G23:G25">
    <cfRule type="expression" dxfId="673" priority="28" stopIfTrue="1">
      <formula>IF(F23="S",TRUE,IF(F23="D",TRUE,FALSE))</formula>
    </cfRule>
  </conditionalFormatting>
  <conditionalFormatting sqref="G28:G32">
    <cfRule type="expression" dxfId="672" priority="27" stopIfTrue="1">
      <formula>IF(F28="S",TRUE,IF(F28="D",TRUE,FALSE))</formula>
    </cfRule>
  </conditionalFormatting>
  <conditionalFormatting sqref="G35">
    <cfRule type="expression" dxfId="671" priority="26" stopIfTrue="1">
      <formula>IF(F35="S",TRUE,IF(F35="D",TRUE,FALSE))</formula>
    </cfRule>
  </conditionalFormatting>
  <conditionalFormatting sqref="K30:K33">
    <cfRule type="expression" dxfId="670" priority="25" stopIfTrue="1">
      <formula>IF(L30="S",TRUE, IF(L30="D", TRUE,FALSE))</formula>
    </cfRule>
  </conditionalFormatting>
  <conditionalFormatting sqref="N6:N7">
    <cfRule type="expression" dxfId="669" priority="24" stopIfTrue="1">
      <formula>IF(O6="S",TRUE, IF(O6="D", TRUE,FALSE))</formula>
    </cfRule>
  </conditionalFormatting>
  <conditionalFormatting sqref="Q31:Q32">
    <cfRule type="expression" dxfId="668" priority="23" stopIfTrue="1">
      <formula>IF(R31="S",TRUE, IF(R31="D", TRUE,FALSE))</formula>
    </cfRule>
  </conditionalFormatting>
  <conditionalFormatting sqref="H5:H7">
    <cfRule type="expression" dxfId="667" priority="22" stopIfTrue="1">
      <formula>IF(I5="S",TRUE, IF(I5="D", TRUE,FALSE))</formula>
    </cfRule>
  </conditionalFormatting>
  <conditionalFormatting sqref="H15">
    <cfRule type="expression" dxfId="666" priority="21" stopIfTrue="1">
      <formula>IF(I15="S",TRUE, IF(I15="D", TRUE,FALSE))</formula>
    </cfRule>
  </conditionalFormatting>
  <conditionalFormatting sqref="T10:T12">
    <cfRule type="expression" dxfId="665" priority="20" stopIfTrue="1">
      <formula>IF(U10="S",TRUE, IF(U10="D", TRUE,FALSE))</formula>
    </cfRule>
  </conditionalFormatting>
  <conditionalFormatting sqref="W21">
    <cfRule type="expression" dxfId="664" priority="19" stopIfTrue="1">
      <formula>IF(X21="S",TRUE, IF(X21="D", TRUE,FALSE))</formula>
    </cfRule>
  </conditionalFormatting>
  <conditionalFormatting sqref="Z5:Z7">
    <cfRule type="expression" dxfId="663" priority="18" stopIfTrue="1">
      <formula>IF(AA5="S",TRUE, IF(AA5="D", TRUE,FALSE))</formula>
    </cfRule>
  </conditionalFormatting>
  <conditionalFormatting sqref="Z12:Z15">
    <cfRule type="expression" dxfId="662" priority="17" stopIfTrue="1">
      <formula>IF(AA12="S",TRUE, IF(AA12="D", TRUE,FALSE))</formula>
    </cfRule>
  </conditionalFormatting>
  <conditionalFormatting sqref="Z29">
    <cfRule type="expression" dxfId="661" priority="16" stopIfTrue="1">
      <formula>IF(AA29="S",TRUE, IF(AA29="D", TRUE,FALSE))</formula>
    </cfRule>
  </conditionalFormatting>
  <conditionalFormatting sqref="AB54:AK54">
    <cfRule type="expression" dxfId="660" priority="15" stopIfTrue="1">
      <formula>IF($P$47&gt;#REF!,TRUE,FALSE)</formula>
    </cfRule>
  </conditionalFormatting>
  <conditionalFormatting sqref="T9">
    <cfRule type="expression" dxfId="659" priority="14" stopIfTrue="1">
      <formula>IF(U9="S",TRUE, IF(U9="D", TRUE,FALSE))</formula>
    </cfRule>
  </conditionalFormatting>
  <conditionalFormatting sqref="Z11">
    <cfRule type="expression" dxfId="658" priority="13" stopIfTrue="1">
      <formula>IF(AA11="S",TRUE, IF(AA11="D", TRUE,FALSE))</formula>
    </cfRule>
  </conditionalFormatting>
  <conditionalFormatting sqref="AK32">
    <cfRule type="expression" dxfId="657" priority="12" stopIfTrue="1">
      <formula>IF(AJ32="S",TRUE,IF(AJ32="D",TRUE,FALSE))</formula>
    </cfRule>
  </conditionalFormatting>
  <conditionalFormatting sqref="AK31">
    <cfRule type="expression" dxfId="656" priority="11" stopIfTrue="1">
      <formula>IF(AJ31="S",TRUE,IF(AJ31="D",TRUE,FALSE))</formula>
    </cfRule>
  </conditionalFormatting>
  <conditionalFormatting sqref="AK30">
    <cfRule type="expression" dxfId="655" priority="10" stopIfTrue="1">
      <formula>IF(AJ30="S",TRUE,IF(AJ30="D",TRUE,FALSE))</formula>
    </cfRule>
  </conditionalFormatting>
  <conditionalFormatting sqref="AH14">
    <cfRule type="expression" dxfId="654" priority="9" stopIfTrue="1">
      <formula>IF(AG14="S",TRUE,IF(AG14="D",TRUE,FALSE))</formula>
    </cfRule>
  </conditionalFormatting>
  <conditionalFormatting sqref="AH15">
    <cfRule type="expression" dxfId="653" priority="8" stopIfTrue="1">
      <formula>IF(AG15="S",TRUE,IF(AG15="D",TRUE,FALSE))</formula>
    </cfRule>
  </conditionalFormatting>
  <conditionalFormatting sqref="AH16">
    <cfRule type="expression" dxfId="652" priority="7" stopIfTrue="1">
      <formula>IF(AG16="S",TRUE,IF(AG16="D",TRUE,FALSE))</formula>
    </cfRule>
  </conditionalFormatting>
  <conditionalFormatting sqref="G26:G27">
    <cfRule type="expression" dxfId="651" priority="6" stopIfTrue="1">
      <formula>IF(F26="S",TRUE,IF(F26="D",TRUE,FALSE))</formula>
    </cfRule>
  </conditionalFormatting>
  <conditionalFormatting sqref="G28:G30">
    <cfRule type="expression" dxfId="650" priority="5" stopIfTrue="1">
      <formula>IF(F28="S",TRUE,IF(F28="D",TRUE,FALSE))</formula>
    </cfRule>
  </conditionalFormatting>
  <conditionalFormatting sqref="AH12:AH13">
    <cfRule type="expression" dxfId="649" priority="4" stopIfTrue="1">
      <formula>IF(AG12="S",TRUE,IF(AG12="D",TRUE,FALSE))</formula>
    </cfRule>
  </conditionalFormatting>
  <conditionalFormatting sqref="AH14:AH16">
    <cfRule type="expression" dxfId="648" priority="3" stopIfTrue="1">
      <formula>IF(AG14="S",TRUE,IF(AG14="D",TRUE,FALSE))</formula>
    </cfRule>
  </conditionalFormatting>
  <conditionalFormatting sqref="AK30:AK31">
    <cfRule type="expression" dxfId="647" priority="2" stopIfTrue="1">
      <formula>IF(AJ30="S",TRUE,IF(AJ30="D",TRUE,FALSE))</formula>
    </cfRule>
  </conditionalFormatting>
  <conditionalFormatting sqref="AK32:AK34">
    <cfRule type="expression" dxfId="646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6257" r:id="rId4" name="ComboBox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8">
    <tabColor rgb="FFFF0000"/>
    <pageSetUpPr fitToPage="1"/>
  </sheetPr>
  <dimension ref="B1:BA74"/>
  <sheetViews>
    <sheetView showGridLines="0" zoomScaleNormal="115" workbookViewId="0">
      <selection activeCell="AA49" sqref="AA49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0.4375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0.48958333333333331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0.48958333333333331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0.4375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0.4375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0.16666666666666669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0.16666666666666669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0.20833333333333337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0.16666666666666669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0.4375</v>
      </c>
      <c r="E7" s="33">
        <v>3</v>
      </c>
      <c r="F7" s="87" t="str">
        <f>CHOOSE(WEEKDAY(Calendrier!C7,2),"L","Ma","Me","J","V","S","D")</f>
        <v>Me</v>
      </c>
      <c r="G7" s="65">
        <f t="shared" si="0"/>
        <v>0.4375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0.4375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0.4375</v>
      </c>
      <c r="Z7" s="33">
        <v>3</v>
      </c>
      <c r="AA7" s="87" t="str">
        <f>CHOOSE(WEEKDAY(Calendrier!J7,2),"L","Ma","Me","J","V","S","D")</f>
        <v>V</v>
      </c>
      <c r="AB7" s="65">
        <f t="shared" si="10"/>
        <v>0.48958333333333331</v>
      </c>
      <c r="AC7" s="33">
        <v>3</v>
      </c>
      <c r="AD7" s="87" t="str">
        <f>CHOOSE(WEEKDAY(Calendrier!K7,2),"L","Ma","Me","J","V","S","D")</f>
        <v>L</v>
      </c>
      <c r="AE7" s="100">
        <f t="shared" si="5"/>
        <v>0.4375</v>
      </c>
      <c r="AF7" s="33">
        <v>3</v>
      </c>
      <c r="AG7" s="87" t="str">
        <f>CHOOSE(WEEKDAY(Calendrier!L7,2),"L","Ma","Me","J","V","S","D")</f>
        <v>Me</v>
      </c>
      <c r="AH7" s="65">
        <f t="shared" si="6"/>
        <v>0.4375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0.16666666666666669</v>
      </c>
      <c r="E8" s="33">
        <v>4</v>
      </c>
      <c r="F8" s="87" t="str">
        <f>CHOOSE(WEEKDAY(Calendrier!C8,2),"L","Ma","Me","J","V","S","D")</f>
        <v>J</v>
      </c>
      <c r="G8" s="65">
        <f t="shared" si="0"/>
        <v>0.20833333333333337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0.16666666666666669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0.4375</v>
      </c>
      <c r="T8" s="33">
        <v>4</v>
      </c>
      <c r="U8" s="87" t="str">
        <f>CHOOSE(WEEKDAY(Calendrier!H8,2),"L","Ma","Me","J","V","S","D")</f>
        <v>L</v>
      </c>
      <c r="V8" s="100">
        <f t="shared" si="3"/>
        <v>0.4375</v>
      </c>
      <c r="W8" s="33">
        <v>4</v>
      </c>
      <c r="X8" s="87" t="str">
        <f>CHOOSE(WEEKDAY(Calendrier!I8,2),"L","Ma","Me","J","V","S","D")</f>
        <v>J</v>
      </c>
      <c r="Y8" s="65">
        <f t="shared" si="4"/>
        <v>0.20833333333333337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0.16666666666666669</v>
      </c>
      <c r="AF8" s="33">
        <v>4</v>
      </c>
      <c r="AG8" s="87" t="str">
        <f>CHOOSE(WEEKDAY(Calendrier!L8,2),"L","Ma","Me","J","V","S","D")</f>
        <v>J</v>
      </c>
      <c r="AH8" s="65">
        <f t="shared" si="6"/>
        <v>0.20833333333333337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0.4375</v>
      </c>
      <c r="E9" s="33">
        <v>5</v>
      </c>
      <c r="F9" s="87" t="str">
        <f>CHOOSE(WEEKDAY(Calendrier!C9,2),"L","Ma","Me","J","V","S","D")</f>
        <v>V</v>
      </c>
      <c r="G9" s="65">
        <f t="shared" si="0"/>
        <v>0.48958333333333331</v>
      </c>
      <c r="H9" s="33">
        <v>5</v>
      </c>
      <c r="I9" s="87" t="str">
        <f>CHOOSE(WEEKDAY(Calendrier!D9,2),"L","Ma","Me","J","V","S","D")</f>
        <v>L</v>
      </c>
      <c r="J9" s="100">
        <f t="shared" si="11"/>
        <v>0.4375</v>
      </c>
      <c r="K9" s="33">
        <v>5</v>
      </c>
      <c r="L9" s="87" t="str">
        <f>CHOOSE(WEEKDAY(Calendrier!E9,2),"L","Ma","Me","J","V","S","D")</f>
        <v>Me</v>
      </c>
      <c r="M9" s="65">
        <f t="shared" si="1"/>
        <v>0.4375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0.16666666666666669</v>
      </c>
      <c r="T9" s="33">
        <v>5</v>
      </c>
      <c r="U9" s="87" t="str">
        <f>CHOOSE(WEEKDAY(Calendrier!H9,2),"L","Ma","Me","J","V","S","D")</f>
        <v>Ma</v>
      </c>
      <c r="V9" s="100">
        <f t="shared" si="3"/>
        <v>0.16666666666666669</v>
      </c>
      <c r="W9" s="33">
        <v>5</v>
      </c>
      <c r="X9" s="87" t="str">
        <f>CHOOSE(WEEKDAY(Calendrier!I9,2),"L","Ma","Me","J","V","S","D")</f>
        <v>V</v>
      </c>
      <c r="Y9" s="65">
        <f t="shared" si="4"/>
        <v>0.48958333333333331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0.4375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0.20833333333333337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0.16666666666666669</v>
      </c>
      <c r="K10" s="33">
        <v>6</v>
      </c>
      <c r="L10" s="87" t="str">
        <f>CHOOSE(WEEKDAY(Calendrier!E10,2),"L","Ma","Me","J","V","S","D")</f>
        <v>J</v>
      </c>
      <c r="M10" s="65">
        <f t="shared" si="1"/>
        <v>0.20833333333333337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0.4375</v>
      </c>
      <c r="T10" s="33">
        <v>6</v>
      </c>
      <c r="U10" s="87" t="str">
        <f>CHOOSE(WEEKDAY(Calendrier!H10,2),"L","Ma","Me","J","V","S","D")</f>
        <v>Me</v>
      </c>
      <c r="V10" s="65">
        <f t="shared" si="3"/>
        <v>0.4375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0.4375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0.20833333333333337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0.48958333333333331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0.4375</v>
      </c>
      <c r="K11" s="33">
        <v>7</v>
      </c>
      <c r="L11" s="87" t="str">
        <f>CHOOSE(WEEKDAY(Calendrier!E11,2),"L","Ma","Me","J","V","S","D")</f>
        <v>V</v>
      </c>
      <c r="M11" s="65">
        <f t="shared" si="1"/>
        <v>0.48958333333333331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0.4375</v>
      </c>
      <c r="Q11" s="33">
        <v>7</v>
      </c>
      <c r="R11" s="87" t="str">
        <f>CHOOSE(WEEKDAY(Calendrier!G11,2),"L","Ma","Me","J","V","S","D")</f>
        <v>J</v>
      </c>
      <c r="S11" s="65">
        <f t="shared" si="2"/>
        <v>0.20833333333333337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0.20833333333333337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0.16666666666666669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0.48958333333333331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0.4375</v>
      </c>
      <c r="H12" s="33">
        <v>8</v>
      </c>
      <c r="I12" s="87" t="str">
        <f>CHOOSE(WEEKDAY(Calendrier!D12,2),"L","Ma","Me","J","V","S","D")</f>
        <v>J</v>
      </c>
      <c r="J12" s="65">
        <f t="shared" si="11"/>
        <v>0.20833333333333337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0.16666666666666669</v>
      </c>
      <c r="Q12" s="33">
        <v>8</v>
      </c>
      <c r="R12" s="87" t="str">
        <f>CHOOSE(WEEKDAY(Calendrier!G12,2),"L","Ma","Me","J","V","S","D")</f>
        <v>V</v>
      </c>
      <c r="S12" s="65">
        <f t="shared" si="2"/>
        <v>0.48958333333333331</v>
      </c>
      <c r="T12" s="33">
        <v>8</v>
      </c>
      <c r="U12" s="87" t="str">
        <f>CHOOSE(WEEKDAY(Calendrier!H12,2),"L","Ma","Me","J","V","S","D")</f>
        <v>V</v>
      </c>
      <c r="V12" s="65">
        <f t="shared" si="3"/>
        <v>0.48958333333333331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0.16666666666666669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0.48958333333333331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0.4375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0.20833333333333337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0.4375</v>
      </c>
      <c r="E14" s="33">
        <v>10</v>
      </c>
      <c r="F14" s="87" t="str">
        <f>CHOOSE(WEEKDAY(Calendrier!C14,2),"L","Ma","Me","J","V","S","D")</f>
        <v>Me</v>
      </c>
      <c r="G14" s="65">
        <v>0.8125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0.4375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0.20833333333333337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0.48958333333333331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0.16666666666666669</v>
      </c>
      <c r="E15" s="33">
        <v>11</v>
      </c>
      <c r="F15" s="87" t="str">
        <f>CHOOSE(WEEKDAY(Calendrier!C15,2),"L","Ma","Me","J","V","S","D")</f>
        <v>J</v>
      </c>
      <c r="G15" s="65">
        <f t="shared" si="0"/>
        <v>0.20833333333333337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0.16666666666666669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0.48958333333333331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0.4375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0.16666666666666669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0.4375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0.48958333333333331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0.4375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0.4375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0.16666666666666669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0.4375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0.20833333333333337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0.16666666666666669</v>
      </c>
      <c r="K17" s="33">
        <v>13</v>
      </c>
      <c r="L17" s="87" t="str">
        <f>CHOOSE(WEEKDAY(Calendrier!E17,2),"L","Ma","Me","J","V","S","D")</f>
        <v>J</v>
      </c>
      <c r="M17" s="65">
        <f t="shared" si="1"/>
        <v>0.20833333333333337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0.4375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0.4375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0.20833333333333337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0.48958333333333331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0.4375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0.48958333333333331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0.4375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0.20833333333333337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0.16666666666666669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0.48958333333333331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0.4375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0.20833333333333337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0.16666666666666669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0.48958333333333331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0.4375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0.16666666666666669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0.48958333333333331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0.4375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0.20833333333333337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0.4375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0.4375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0.4375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0.20833333333333337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0.48958333333333331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0.4375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0.16666666666666669</v>
      </c>
      <c r="E22" s="33">
        <v>18</v>
      </c>
      <c r="F22" s="87" t="str">
        <f>CHOOSE(WEEKDAY(Calendrier!C22,2),"L","Ma","Me","J","V","S","D")</f>
        <v>J</v>
      </c>
      <c r="G22" s="65">
        <f t="shared" si="0"/>
        <v>0.20833333333333337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0.16666666666666669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0.48958333333333331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0.4375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0.16666666666666669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0.4375</v>
      </c>
      <c r="E23" s="33">
        <v>19</v>
      </c>
      <c r="F23" s="87" t="str">
        <f>CHOOSE(WEEKDAY(Calendrier!C23,2),"L","Ma","Me","J","V","S","D")</f>
        <v>V</v>
      </c>
      <c r="G23" s="65">
        <f t="shared" si="0"/>
        <v>0.48958333333333331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0.4375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0.4375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0.16666666666666669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0.4375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0.20833333333333337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0.16666666666666669</v>
      </c>
      <c r="K24" s="33">
        <v>20</v>
      </c>
      <c r="L24" s="87" t="str">
        <f>CHOOSE(WEEKDAY(Calendrier!E24,2),"L","Ma","Me","J","V","S","D")</f>
        <v>J</v>
      </c>
      <c r="M24" s="65">
        <f t="shared" si="1"/>
        <v>0.20833333333333337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0.4375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0.4375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0.20833333333333337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0.48958333333333331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0.4375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0.48958333333333331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0.4375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0.20833333333333337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0.16666666666666669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0.48958333333333331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0.20833333333333337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0.16666666666666669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0.48958333333333331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0.4375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0.48958333333333331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0.4375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0.16666666666666669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0.20833333333333337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0.4375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0.20833333333333337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0.4375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0.48958333333333331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0.4375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0.16666666666666669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0.48958333333333331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0.4375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0.4375</v>
      </c>
      <c r="W29" s="33">
        <v>25</v>
      </c>
      <c r="X29" s="87" t="str">
        <f>CHOOSE(WEEKDAY(Calendrier!I29,2),"L","Ma","Me","J","V","S","D")</f>
        <v>J</v>
      </c>
      <c r="Y29" s="65">
        <f t="shared" si="4"/>
        <v>0.20833333333333337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0.16666666666666669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0.4375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0.4375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0.16666666666666669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0.16666666666666669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0.48958333333333331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0.4375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0.20833333333333337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0.16666666666666669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0.4375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0.4375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0.4375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0.20833333333333337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0.48958333333333331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0.4375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0.4375</v>
      </c>
      <c r="Q32" s="33">
        <v>28</v>
      </c>
      <c r="R32" s="87" t="str">
        <f>CHOOSE(WEEKDAY(Calendrier!G32,2),"L","Ma","Me","J","V","S","D")</f>
        <v>J</v>
      </c>
      <c r="S32" s="65">
        <f t="shared" si="2"/>
        <v>0.20833333333333337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0.20833333333333337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0.16666666666666669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0.20833333333333337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0.16666666666666669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0.48958333333333331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0.4375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0.4375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0.48958333333333331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0.4375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0.16666666666666669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0.20833333333333337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0.48958333333333331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6.9583333333333321</v>
      </c>
      <c r="E36" s="39"/>
      <c r="F36" s="31"/>
      <c r="G36" s="37">
        <f>SUM(G5:G35)</f>
        <v>5.8437499999999991</v>
      </c>
      <c r="H36" s="40"/>
      <c r="I36" s="28"/>
      <c r="J36" s="38">
        <f>SUM(J5:J35)</f>
        <v>6.9583333333333321</v>
      </c>
      <c r="K36" s="39"/>
      <c r="L36" s="31"/>
      <c r="M36" s="38">
        <f>SUM(M5:M35)</f>
        <v>5.2187499999999991</v>
      </c>
      <c r="N36" s="39"/>
      <c r="O36" s="32"/>
      <c r="P36" s="38">
        <f>SUM(P5:P35)</f>
        <v>6.4687499999999991</v>
      </c>
      <c r="Q36" s="41"/>
      <c r="R36" s="29"/>
      <c r="S36" s="38">
        <f>SUM(S5:S35)</f>
        <v>3.479166666666667</v>
      </c>
      <c r="T36" s="39"/>
      <c r="U36" s="32"/>
      <c r="V36" s="38">
        <f>SUM(V5:V35)</f>
        <v>7.4479166666666661</v>
      </c>
      <c r="W36" s="39"/>
      <c r="X36" s="32"/>
      <c r="Y36" s="38">
        <f>SUM(Y5:Y34)</f>
        <v>3.6458333333333335</v>
      </c>
      <c r="Z36" s="39"/>
      <c r="AA36" s="32"/>
      <c r="AB36" s="38">
        <f>SUM(AB5:AB35)</f>
        <v>7.010416666666667</v>
      </c>
      <c r="AC36" s="39"/>
      <c r="AD36" s="32"/>
      <c r="AE36" s="38">
        <f>SUM(AE7:AE34)</f>
        <v>6.40625</v>
      </c>
      <c r="AF36" s="39"/>
      <c r="AG36" s="31"/>
      <c r="AH36" s="38">
        <f>SUM(AH5:AH34)</f>
        <v>1.625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61.062499999999993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0.5</v>
      </c>
      <c r="E42" s="199" t="s">
        <v>13</v>
      </c>
      <c r="F42" s="200"/>
      <c r="G42" s="81">
        <v>8.3333333333333329E-2</v>
      </c>
      <c r="H42" s="199" t="s">
        <v>14</v>
      </c>
      <c r="I42" s="200"/>
      <c r="J42" s="81">
        <v>0.3125</v>
      </c>
      <c r="K42" s="199" t="s">
        <v>15</v>
      </c>
      <c r="L42" s="200"/>
      <c r="M42" s="81">
        <v>0.72916666666666663</v>
      </c>
      <c r="N42" s="199" t="s">
        <v>16</v>
      </c>
      <c r="O42" s="200"/>
      <c r="P42" s="81">
        <v>8.3333333333333329E-2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0.9375</v>
      </c>
      <c r="E43" s="201"/>
      <c r="F43" s="202"/>
      <c r="G43" s="81">
        <v>0.20833333333333334</v>
      </c>
      <c r="H43" s="201"/>
      <c r="I43" s="202"/>
      <c r="J43" s="81">
        <v>0.75</v>
      </c>
      <c r="K43" s="201"/>
      <c r="L43" s="202"/>
      <c r="M43" s="81">
        <v>0.9375</v>
      </c>
      <c r="N43" s="201"/>
      <c r="O43" s="202"/>
      <c r="P43" s="81">
        <v>0.20833333333333334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0.27083333333333331</v>
      </c>
      <c r="H44" s="201"/>
      <c r="I44" s="202"/>
      <c r="J44" s="81"/>
      <c r="K44" s="201"/>
      <c r="L44" s="202"/>
      <c r="M44" s="81"/>
      <c r="N44" s="201"/>
      <c r="O44" s="202"/>
      <c r="P44" s="81">
        <v>0.27083333333333331</v>
      </c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64.625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0.3125</v>
      </c>
      <c r="H45" s="201"/>
      <c r="I45" s="202"/>
      <c r="J45" s="81"/>
      <c r="K45" s="201"/>
      <c r="L45" s="202"/>
      <c r="M45" s="81"/>
      <c r="N45" s="201"/>
      <c r="O45" s="202"/>
      <c r="P45" s="81">
        <v>0.63541666666666663</v>
      </c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0.4375</v>
      </c>
      <c r="E46" s="203"/>
      <c r="F46" s="204"/>
      <c r="G46" s="82">
        <f>(G43-G42)+(G45-G44)</f>
        <v>0.16666666666666669</v>
      </c>
      <c r="H46" s="203"/>
      <c r="I46" s="204"/>
      <c r="J46" s="82">
        <f>(J43-J42)+(J45-J44)</f>
        <v>0.4375</v>
      </c>
      <c r="K46" s="203"/>
      <c r="L46" s="204"/>
      <c r="M46" s="82">
        <f>(M43-M42)+(M45-M44)</f>
        <v>0.20833333333333337</v>
      </c>
      <c r="N46" s="203"/>
      <c r="O46" s="204"/>
      <c r="P46" s="82">
        <f>(P43-P42)+(P45-P44)</f>
        <v>0.48958333333333331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61.062499999999993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1.7395833333333335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0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0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3.5625000000000071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-3.5625000000000071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7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0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3.5625000000000071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645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644" priority="54" stopIfTrue="1">
      <formula>IF(C5="S",TRUE,IF(C5="D",TRUE,FALSE))</formula>
    </cfRule>
  </conditionalFormatting>
  <conditionalFormatting sqref="AB49:AK49 AB53:AK53">
    <cfRule type="expression" dxfId="643" priority="53" stopIfTrue="1">
      <formula xml:space="preserve"> IF($G$38=100,IF($P$47&lt;$AI49,TRUE,FALSE),FALSE)</formula>
    </cfRule>
  </conditionalFormatting>
  <conditionalFormatting sqref="R34">
    <cfRule type="cellIs" dxfId="642" priority="51" stopIfTrue="1" operator="equal">
      <formula>"S"</formula>
    </cfRule>
    <cfRule type="cellIs" dxfId="641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640" priority="50" stopIfTrue="1">
      <formula>IF(C5="S",TRUE,IF(C5="D",TRUE,FALSE))</formula>
    </cfRule>
  </conditionalFormatting>
  <conditionalFormatting sqref="P47">
    <cfRule type="cellIs" dxfId="639" priority="48" stopIfTrue="1" operator="lessThan">
      <formula>1.33333333333333</formula>
    </cfRule>
    <cfRule type="cellIs" dxfId="638" priority="49" stopIfTrue="1" operator="greaterThan">
      <formula>1.83333333333333</formula>
    </cfRule>
  </conditionalFormatting>
  <conditionalFormatting sqref="E26:E27">
    <cfRule type="expression" dxfId="637" priority="47" stopIfTrue="1">
      <formula>IF(F26="S",TRUE, IF(F26="D", TRUE,FALSE))</formula>
    </cfRule>
  </conditionalFormatting>
  <conditionalFormatting sqref="E33:E34">
    <cfRule type="expression" dxfId="636" priority="46" stopIfTrue="1">
      <formula>IF(F33="S",TRUE, IF(F33="D", TRUE,FALSE))</formula>
    </cfRule>
  </conditionalFormatting>
  <conditionalFormatting sqref="H13">
    <cfRule type="expression" dxfId="635" priority="45" stopIfTrue="1">
      <formula>IF(I13="S",TRUE, IF(I13="D", TRUE,FALSE))</formula>
    </cfRule>
  </conditionalFormatting>
  <conditionalFormatting sqref="N8">
    <cfRule type="expression" dxfId="634" priority="44" stopIfTrue="1">
      <formula>IF(O8="S",TRUE, IF(O8="D", TRUE,FALSE))</formula>
    </cfRule>
  </conditionalFormatting>
  <conditionalFormatting sqref="K34:K35 K26:K28">
    <cfRule type="expression" dxfId="633" priority="43" stopIfTrue="1">
      <formula>IF(L26="S",TRUE, IF(L26="D", TRUE,FALSE))</formula>
    </cfRule>
  </conditionalFormatting>
  <conditionalFormatting sqref="T5:T8">
    <cfRule type="expression" dxfId="632" priority="42" stopIfTrue="1">
      <formula>IF(U5="S",TRUE, IF(U5="D", TRUE,FALSE))</formula>
    </cfRule>
  </conditionalFormatting>
  <conditionalFormatting sqref="Q26:Q30">
    <cfRule type="expression" dxfId="631" priority="41" stopIfTrue="1">
      <formula>IF(R26="S",TRUE, IF(R26="D", TRUE,FALSE))</formula>
    </cfRule>
  </conditionalFormatting>
  <conditionalFormatting sqref="Z20">
    <cfRule type="expression" dxfId="630" priority="40" stopIfTrue="1">
      <formula>IF(AA20="S",TRUE, IF(AA20="D", TRUE,FALSE))</formula>
    </cfRule>
  </conditionalFormatting>
  <conditionalFormatting sqref="W23">
    <cfRule type="expression" dxfId="629" priority="39" stopIfTrue="1">
      <formula>IF(X23="S",TRUE, IF(X23="D", TRUE,FALSE))</formula>
    </cfRule>
  </conditionalFormatting>
  <conditionalFormatting sqref="W29:W33">
    <cfRule type="expression" dxfId="628" priority="38" stopIfTrue="1">
      <formula>IF(X29="S",TRUE, IF(X29="D", TRUE,FALSE))</formula>
    </cfRule>
  </conditionalFormatting>
  <conditionalFormatting sqref="Z8 Z10">
    <cfRule type="expression" dxfId="627" priority="37" stopIfTrue="1">
      <formula>IF(AA8="S",TRUE, IF(AA8="D", TRUE,FALSE))</formula>
    </cfRule>
  </conditionalFormatting>
  <conditionalFormatting sqref="Z9">
    <cfRule type="expression" dxfId="626" priority="36" stopIfTrue="1">
      <formula>IF(AA9="S",TRUE, IF(AA9="D", TRUE,FALSE))</formula>
    </cfRule>
  </conditionalFormatting>
  <conditionalFormatting sqref="W10">
    <cfRule type="expression" dxfId="625" priority="35" stopIfTrue="1">
      <formula>IF(X10="S",TRUE, IF(X10="D", TRUE,FALSE))</formula>
    </cfRule>
  </conditionalFormatting>
  <conditionalFormatting sqref="AB29">
    <cfRule type="expression" dxfId="624" priority="34" stopIfTrue="1">
      <formula>IF(AA29="S",TRUE,IF(AA29="D",TRUE,FALSE))</formula>
    </cfRule>
  </conditionalFormatting>
  <conditionalFormatting sqref="Q33">
    <cfRule type="expression" dxfId="623" priority="33" stopIfTrue="1">
      <formula>IF(R33="S",TRUE, IF(R33="D", TRUE,FALSE))</formula>
    </cfRule>
  </conditionalFormatting>
  <conditionalFormatting sqref="T32">
    <cfRule type="expression" dxfId="622" priority="32" stopIfTrue="1">
      <formula>IF(U32="S",TRUE, IF(U32="D", TRUE,FALSE))</formula>
    </cfRule>
  </conditionalFormatting>
  <conditionalFormatting sqref="E23:E25">
    <cfRule type="expression" dxfId="621" priority="31" stopIfTrue="1">
      <formula>IF(F23="S",TRUE, IF(F23="D", TRUE,FALSE))</formula>
    </cfRule>
  </conditionalFormatting>
  <conditionalFormatting sqref="E28:E32">
    <cfRule type="expression" dxfId="620" priority="30" stopIfTrue="1">
      <formula>IF(F28="S",TRUE, IF(F28="D", TRUE,FALSE))</formula>
    </cfRule>
  </conditionalFormatting>
  <conditionalFormatting sqref="E35">
    <cfRule type="expression" dxfId="619" priority="29" stopIfTrue="1">
      <formula>IF(F35="S",TRUE, IF(F35="D", TRUE,FALSE))</formula>
    </cfRule>
  </conditionalFormatting>
  <conditionalFormatting sqref="G23:G25">
    <cfRule type="expression" dxfId="618" priority="28" stopIfTrue="1">
      <formula>IF(F23="S",TRUE,IF(F23="D",TRUE,FALSE))</formula>
    </cfRule>
  </conditionalFormatting>
  <conditionalFormatting sqref="G28:G32">
    <cfRule type="expression" dxfId="617" priority="27" stopIfTrue="1">
      <formula>IF(F28="S",TRUE,IF(F28="D",TRUE,FALSE))</formula>
    </cfRule>
  </conditionalFormatting>
  <conditionalFormatting sqref="G35">
    <cfRule type="expression" dxfId="616" priority="26" stopIfTrue="1">
      <formula>IF(F35="S",TRUE,IF(F35="D",TRUE,FALSE))</formula>
    </cfRule>
  </conditionalFormatting>
  <conditionalFormatting sqref="K30:K33">
    <cfRule type="expression" dxfId="615" priority="25" stopIfTrue="1">
      <formula>IF(L30="S",TRUE, IF(L30="D", TRUE,FALSE))</formula>
    </cfRule>
  </conditionalFormatting>
  <conditionalFormatting sqref="N6:N7">
    <cfRule type="expression" dxfId="614" priority="24" stopIfTrue="1">
      <formula>IF(O6="S",TRUE, IF(O6="D", TRUE,FALSE))</formula>
    </cfRule>
  </conditionalFormatting>
  <conditionalFormatting sqref="Q31:Q32">
    <cfRule type="expression" dxfId="613" priority="23" stopIfTrue="1">
      <formula>IF(R31="S",TRUE, IF(R31="D", TRUE,FALSE))</formula>
    </cfRule>
  </conditionalFormatting>
  <conditionalFormatting sqref="H5:H7">
    <cfRule type="expression" dxfId="612" priority="22" stopIfTrue="1">
      <formula>IF(I5="S",TRUE, IF(I5="D", TRUE,FALSE))</formula>
    </cfRule>
  </conditionalFormatting>
  <conditionalFormatting sqref="H15">
    <cfRule type="expression" dxfId="611" priority="21" stopIfTrue="1">
      <formula>IF(I15="S",TRUE, IF(I15="D", TRUE,FALSE))</formula>
    </cfRule>
  </conditionalFormatting>
  <conditionalFormatting sqref="T10:T12">
    <cfRule type="expression" dxfId="610" priority="20" stopIfTrue="1">
      <formula>IF(U10="S",TRUE, IF(U10="D", TRUE,FALSE))</formula>
    </cfRule>
  </conditionalFormatting>
  <conditionalFormatting sqref="W21">
    <cfRule type="expression" dxfId="609" priority="19" stopIfTrue="1">
      <formula>IF(X21="S",TRUE, IF(X21="D", TRUE,FALSE))</formula>
    </cfRule>
  </conditionalFormatting>
  <conditionalFormatting sqref="Z5:Z7">
    <cfRule type="expression" dxfId="608" priority="18" stopIfTrue="1">
      <formula>IF(AA5="S",TRUE, IF(AA5="D", TRUE,FALSE))</formula>
    </cfRule>
  </conditionalFormatting>
  <conditionalFormatting sqref="Z12:Z15">
    <cfRule type="expression" dxfId="607" priority="17" stopIfTrue="1">
      <formula>IF(AA12="S",TRUE, IF(AA12="D", TRUE,FALSE))</formula>
    </cfRule>
  </conditionalFormatting>
  <conditionalFormatting sqref="Z29">
    <cfRule type="expression" dxfId="606" priority="16" stopIfTrue="1">
      <formula>IF(AA29="S",TRUE, IF(AA29="D", TRUE,FALSE))</formula>
    </cfRule>
  </conditionalFormatting>
  <conditionalFormatting sqref="AB54:AK54">
    <cfRule type="expression" dxfId="605" priority="15" stopIfTrue="1">
      <formula>IF($P$47&gt;#REF!,TRUE,FALSE)</formula>
    </cfRule>
  </conditionalFormatting>
  <conditionalFormatting sqref="T9">
    <cfRule type="expression" dxfId="604" priority="14" stopIfTrue="1">
      <formula>IF(U9="S",TRUE, IF(U9="D", TRUE,FALSE))</formula>
    </cfRule>
  </conditionalFormatting>
  <conditionalFormatting sqref="Z11">
    <cfRule type="expression" dxfId="603" priority="13" stopIfTrue="1">
      <formula>IF(AA11="S",TRUE, IF(AA11="D", TRUE,FALSE))</formula>
    </cfRule>
  </conditionalFormatting>
  <conditionalFormatting sqref="AK32">
    <cfRule type="expression" dxfId="602" priority="12" stopIfTrue="1">
      <formula>IF(AJ32="S",TRUE,IF(AJ32="D",TRUE,FALSE))</formula>
    </cfRule>
  </conditionalFormatting>
  <conditionalFormatting sqref="AK31">
    <cfRule type="expression" dxfId="601" priority="11" stopIfTrue="1">
      <formula>IF(AJ31="S",TRUE,IF(AJ31="D",TRUE,FALSE))</formula>
    </cfRule>
  </conditionalFormatting>
  <conditionalFormatting sqref="AK30">
    <cfRule type="expression" dxfId="600" priority="10" stopIfTrue="1">
      <formula>IF(AJ30="S",TRUE,IF(AJ30="D",TRUE,FALSE))</formula>
    </cfRule>
  </conditionalFormatting>
  <conditionalFormatting sqref="AH14">
    <cfRule type="expression" dxfId="599" priority="9" stopIfTrue="1">
      <formula>IF(AG14="S",TRUE,IF(AG14="D",TRUE,FALSE))</formula>
    </cfRule>
  </conditionalFormatting>
  <conditionalFormatting sqref="AH15">
    <cfRule type="expression" dxfId="598" priority="8" stopIfTrue="1">
      <formula>IF(AG15="S",TRUE,IF(AG15="D",TRUE,FALSE))</formula>
    </cfRule>
  </conditionalFormatting>
  <conditionalFormatting sqref="AH16">
    <cfRule type="expression" dxfId="597" priority="7" stopIfTrue="1">
      <formula>IF(AG16="S",TRUE,IF(AG16="D",TRUE,FALSE))</formula>
    </cfRule>
  </conditionalFormatting>
  <conditionalFormatting sqref="G26:G27">
    <cfRule type="expression" dxfId="596" priority="6" stopIfTrue="1">
      <formula>IF(F26="S",TRUE,IF(F26="D",TRUE,FALSE))</formula>
    </cfRule>
  </conditionalFormatting>
  <conditionalFormatting sqref="G28:G30">
    <cfRule type="expression" dxfId="595" priority="5" stopIfTrue="1">
      <formula>IF(F28="S",TRUE,IF(F28="D",TRUE,FALSE))</formula>
    </cfRule>
  </conditionalFormatting>
  <conditionalFormatting sqref="AH12:AH13">
    <cfRule type="expression" dxfId="594" priority="4" stopIfTrue="1">
      <formula>IF(AG12="S",TRUE,IF(AG12="D",TRUE,FALSE))</formula>
    </cfRule>
  </conditionalFormatting>
  <conditionalFormatting sqref="AH14:AH16">
    <cfRule type="expression" dxfId="593" priority="3" stopIfTrue="1">
      <formula>IF(AG14="S",TRUE,IF(AG14="D",TRUE,FALSE))</formula>
    </cfRule>
  </conditionalFormatting>
  <conditionalFormatting sqref="AK30:AK31">
    <cfRule type="expression" dxfId="592" priority="2" stopIfTrue="1">
      <formula>IF(AJ30="S",TRUE,IF(AJ30="D",TRUE,FALSE))</formula>
    </cfRule>
  </conditionalFormatting>
  <conditionalFormatting sqref="AK32:AK34">
    <cfRule type="expression" dxfId="591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5233" r:id="rId4" name="ComboBox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26">
    <tabColor rgb="FFFF0000"/>
    <pageSetUpPr fitToPage="1"/>
  </sheetPr>
  <dimension ref="B1:BA74"/>
  <sheetViews>
    <sheetView showGridLines="0" zoomScaleNormal="115" workbookViewId="0">
      <selection activeCell="E4" sqref="E4:G4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0.41666666666666663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0.45833333333333337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0.45833333333333337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0.41666666666666663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0.41666666666666663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v>0.39583333333333331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0.20833333333333337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0.45833333333333337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0.20833333333333337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0.41666666666666663</v>
      </c>
      <c r="E7" s="33">
        <v>3</v>
      </c>
      <c r="F7" s="87" t="str">
        <f>CHOOSE(WEEKDAY(Calendrier!C7,2),"L","Ma","Me","J","V","S","D")</f>
        <v>Me</v>
      </c>
      <c r="G7" s="65">
        <f t="shared" si="0"/>
        <v>0.20833333333333337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0.41666666666666663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0.20833333333333337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0.45833333333333337</v>
      </c>
      <c r="AC7" s="33">
        <v>3</v>
      </c>
      <c r="AD7" s="87" t="str">
        <f>CHOOSE(WEEKDAY(Calendrier!K7,2),"L","Ma","Me","J","V","S","D")</f>
        <v>L</v>
      </c>
      <c r="AE7" s="100">
        <f t="shared" si="5"/>
        <v>0.41666666666666663</v>
      </c>
      <c r="AF7" s="33">
        <v>3</v>
      </c>
      <c r="AG7" s="87" t="str">
        <f>CHOOSE(WEEKDAY(Calendrier!L7,2),"L","Ma","Me","J","V","S","D")</f>
        <v>Me</v>
      </c>
      <c r="AH7" s="65">
        <f t="shared" si="6"/>
        <v>0.20833333333333337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0.20833333333333337</v>
      </c>
      <c r="E8" s="33">
        <v>4</v>
      </c>
      <c r="F8" s="87" t="str">
        <f>CHOOSE(WEEKDAY(Calendrier!C8,2),"L","Ma","Me","J","V","S","D")</f>
        <v>J</v>
      </c>
      <c r="G8" s="65">
        <f t="shared" si="0"/>
        <v>0.45833333333333337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0.20833333333333337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0.41666666666666663</v>
      </c>
      <c r="T8" s="33">
        <v>4</v>
      </c>
      <c r="U8" s="87" t="str">
        <f>CHOOSE(WEEKDAY(Calendrier!H8,2),"L","Ma","Me","J","V","S","D")</f>
        <v>L</v>
      </c>
      <c r="V8" s="100">
        <f t="shared" si="3"/>
        <v>0.41666666666666663</v>
      </c>
      <c r="W8" s="33">
        <v>4</v>
      </c>
      <c r="X8" s="87" t="str">
        <f>CHOOSE(WEEKDAY(Calendrier!I8,2),"L","Ma","Me","J","V","S","D")</f>
        <v>J</v>
      </c>
      <c r="Y8" s="65">
        <f t="shared" si="4"/>
        <v>0.45833333333333337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0.20833333333333337</v>
      </c>
      <c r="AF8" s="33">
        <v>4</v>
      </c>
      <c r="AG8" s="87" t="str">
        <f>CHOOSE(WEEKDAY(Calendrier!L8,2),"L","Ma","Me","J","V","S","D")</f>
        <v>J</v>
      </c>
      <c r="AH8" s="65">
        <f t="shared" si="6"/>
        <v>0.45833333333333337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0.20833333333333337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0.45833333333333337</v>
      </c>
      <c r="H9" s="33">
        <v>5</v>
      </c>
      <c r="I9" s="87" t="str">
        <f>CHOOSE(WEEKDAY(Calendrier!D9,2),"L","Ma","Me","J","V","S","D")</f>
        <v>L</v>
      </c>
      <c r="J9" s="100">
        <f t="shared" si="11"/>
        <v>0.41666666666666663</v>
      </c>
      <c r="K9" s="33">
        <v>5</v>
      </c>
      <c r="L9" s="87" t="str">
        <f>CHOOSE(WEEKDAY(Calendrier!E9,2),"L","Ma","Me","J","V","S","D")</f>
        <v>Me</v>
      </c>
      <c r="M9" s="65">
        <v>0.33333333333333331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0.20833333333333337</v>
      </c>
      <c r="T9" s="33">
        <v>5</v>
      </c>
      <c r="U9" s="87" t="str">
        <f>CHOOSE(WEEKDAY(Calendrier!H9,2),"L","Ma","Me","J","V","S","D")</f>
        <v>Ma</v>
      </c>
      <c r="V9" s="100">
        <f t="shared" si="3"/>
        <v>0.20833333333333337</v>
      </c>
      <c r="W9" s="33">
        <v>5</v>
      </c>
      <c r="X9" s="87" t="str">
        <f>CHOOSE(WEEKDAY(Calendrier!I9,2),"L","Ma","Me","J","V","S","D")</f>
        <v>V</v>
      </c>
      <c r="Y9" s="65">
        <f t="shared" si="4"/>
        <v>0.45833333333333337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0.20833333333333337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0.45833333333333337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0.20833333333333337</v>
      </c>
      <c r="K10" s="33">
        <v>6</v>
      </c>
      <c r="L10" s="87" t="str">
        <f>CHOOSE(WEEKDAY(Calendrier!E10,2),"L","Ma","Me","J","V","S","D")</f>
        <v>J</v>
      </c>
      <c r="M10" s="65">
        <f t="shared" si="1"/>
        <v>0.45833333333333337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0.20833333333333337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0.20833333333333337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0.41666666666666663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0.45833333333333337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0.45833333333333337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0.20833333333333337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0.45833333333333337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0.41666666666666663</v>
      </c>
      <c r="Q11" s="33">
        <v>7</v>
      </c>
      <c r="R11" s="87" t="str">
        <f>CHOOSE(WEEKDAY(Calendrier!G11,2),"L","Ma","Me","J","V","S","D")</f>
        <v>J</v>
      </c>
      <c r="S11" s="65">
        <f t="shared" si="2"/>
        <v>0.45833333333333337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0.45833333333333337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0.20833333333333337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0.45833333333333337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0.41666666666666663</v>
      </c>
      <c r="H12" s="33">
        <v>8</v>
      </c>
      <c r="I12" s="87" t="str">
        <f>CHOOSE(WEEKDAY(Calendrier!D12,2),"L","Ma","Me","J","V","S","D")</f>
        <v>J</v>
      </c>
      <c r="J12" s="65">
        <f t="shared" si="11"/>
        <v>0.45833333333333337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0.20833333333333337</v>
      </c>
      <c r="Q12" s="33">
        <v>8</v>
      </c>
      <c r="R12" s="87" t="str">
        <f>CHOOSE(WEEKDAY(Calendrier!G12,2),"L","Ma","Me","J","V","S","D")</f>
        <v>V</v>
      </c>
      <c r="S12" s="65">
        <f t="shared" si="2"/>
        <v>0.45833333333333337</v>
      </c>
      <c r="T12" s="33">
        <v>8</v>
      </c>
      <c r="U12" s="87" t="str">
        <f>CHOOSE(WEEKDAY(Calendrier!H12,2),"L","Ma","Me","J","V","S","D")</f>
        <v>V</v>
      </c>
      <c r="V12" s="65">
        <f t="shared" si="3"/>
        <v>0.45833333333333337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0.20833333333333337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0.45833333333333337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0.20833333333333337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0.45833333333333337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0.41666666666666663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0.20833333333333337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0.41666666666666663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0.45833333333333337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0.45833333333333337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0.20833333333333337</v>
      </c>
      <c r="E15" s="33">
        <v>11</v>
      </c>
      <c r="F15" s="87" t="str">
        <f>CHOOSE(WEEKDAY(Calendrier!C15,2),"L","Ma","Me","J","V","S","D")</f>
        <v>J</v>
      </c>
      <c r="G15" s="65">
        <f t="shared" si="0"/>
        <v>0.45833333333333337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0.20833333333333337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0.45833333333333337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0.41666666666666663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0.20833333333333337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0.20833333333333337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0.45833333333333337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0.41666666666666663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0.20833333333333337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0.20833333333333337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0.20833333333333337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v>0.83333333333333337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0.20833333333333337</v>
      </c>
      <c r="K17" s="33">
        <v>13</v>
      </c>
      <c r="L17" s="87" t="str">
        <f>CHOOSE(WEEKDAY(Calendrier!E17,2),"L","Ma","Me","J","V","S","D")</f>
        <v>J</v>
      </c>
      <c r="M17" s="65">
        <f t="shared" si="1"/>
        <v>0.45833333333333337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0.20833333333333337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0.41666666666666663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0.45833333333333337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0.45833333333333337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0.20833333333333337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0.45833333333333337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0.41666666666666663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0.45833333333333337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0.20833333333333337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0.45833333333333337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0.41666666666666663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0.45833333333333337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0.20833333333333337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0.45833333333333337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0.20833333333333337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v>0.58333333333333337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0.45833333333333337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0.20833333333333337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0.45833333333333337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0.41666666666666663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0.20833333333333337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0.41666666666666663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0.45833333333333337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0.45833333333333337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0.41666666666666663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0.20833333333333337</v>
      </c>
      <c r="E22" s="33">
        <v>18</v>
      </c>
      <c r="F22" s="87" t="str">
        <f>CHOOSE(WEEKDAY(Calendrier!C22,2),"L","Ma","Me","J","V","S","D")</f>
        <v>J</v>
      </c>
      <c r="G22" s="65">
        <f t="shared" si="0"/>
        <v>0.45833333333333337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0.20833333333333337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0.45833333333333337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0.41666666666666663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0.20833333333333337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0.20833333333333337</v>
      </c>
      <c r="E23" s="33">
        <v>19</v>
      </c>
      <c r="F23" s="87" t="str">
        <f>CHOOSE(WEEKDAY(Calendrier!C23,2),"L","Ma","Me","J","V","S","D")</f>
        <v>V</v>
      </c>
      <c r="G23" s="65">
        <v>0.5625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0.41666666666666663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0.20833333333333337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0.20833333333333337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0.20833333333333337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0.45833333333333337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0.20833333333333337</v>
      </c>
      <c r="K24" s="33">
        <v>20</v>
      </c>
      <c r="L24" s="87" t="str">
        <f>CHOOSE(WEEKDAY(Calendrier!E24,2),"L","Ma","Me","J","V","S","D")</f>
        <v>J</v>
      </c>
      <c r="M24" s="65">
        <f t="shared" si="1"/>
        <v>0.45833333333333337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0.20833333333333337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0.41666666666666663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0.45833333333333337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0.45833333333333337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0.20833333333333337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0.45833333333333337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0.41666666666666663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0.45833333333333337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0.20833333333333337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0.45833333333333337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0.45833333333333337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0.20833333333333337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0.45833333333333337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0.20833333333333337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0.45833333333333337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0.20833333333333337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0.20833333333333337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0.45833333333333337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0.41666666666666663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0.45833333333333337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0.20833333333333337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0.45833333333333337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0.41666666666666663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0.20833333333333337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0.45833333333333337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0.41666666666666663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0.41666666666666663</v>
      </c>
      <c r="W29" s="33">
        <v>25</v>
      </c>
      <c r="X29" s="87" t="str">
        <f>CHOOSE(WEEKDAY(Calendrier!I29,2),"L","Ma","Me","J","V","S","D")</f>
        <v>J</v>
      </c>
      <c r="Y29" s="65">
        <f t="shared" si="4"/>
        <v>0.45833333333333337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0.20833333333333337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0.20833333333333337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0.41666666666666663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0.20833333333333337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0.20833333333333337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0.45833333333333337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0.20833333333333337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0.45833333333333337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0.20833333333333337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0.20833333333333337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0.20833333333333337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0.41666666666666663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0.45833333333333337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0.45833333333333337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0.20833333333333337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0.41666666666666663</v>
      </c>
      <c r="Q32" s="33">
        <v>28</v>
      </c>
      <c r="R32" s="87" t="str">
        <f>CHOOSE(WEEKDAY(Calendrier!G32,2),"L","Ma","Me","J","V","S","D")</f>
        <v>J</v>
      </c>
      <c r="S32" s="65">
        <f t="shared" si="2"/>
        <v>0.45833333333333337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0.45833333333333337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0.20833333333333337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0.45833333333333337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0.20833333333333337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0.45833333333333337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0.41666666666666663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0.20833333333333337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0.45833333333333337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0.20833333333333337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0.20833333333333337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0.45833333333333337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0.45833333333333337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7.3749999999999982</v>
      </c>
      <c r="E36" s="39"/>
      <c r="F36" s="31"/>
      <c r="G36" s="37">
        <f>SUM(G5:G35)</f>
        <v>6.166666666666667</v>
      </c>
      <c r="H36" s="40"/>
      <c r="I36" s="28"/>
      <c r="J36" s="38">
        <f>SUM(J5:J35)</f>
        <v>6.9999999999999982</v>
      </c>
      <c r="K36" s="39"/>
      <c r="L36" s="31"/>
      <c r="M36" s="38">
        <f>SUM(M5:M35)</f>
        <v>5.3749999999999991</v>
      </c>
      <c r="N36" s="39"/>
      <c r="O36" s="32"/>
      <c r="P36" s="38">
        <f>SUM(P5:P35)</f>
        <v>6.5416666666666652</v>
      </c>
      <c r="Q36" s="41"/>
      <c r="R36" s="29"/>
      <c r="S36" s="38">
        <f>SUM(S5:S35)</f>
        <v>3.5000000000000009</v>
      </c>
      <c r="T36" s="39"/>
      <c r="U36" s="32"/>
      <c r="V36" s="38">
        <f>SUM(V5:V35)</f>
        <v>7.4583333333333321</v>
      </c>
      <c r="W36" s="39"/>
      <c r="X36" s="32"/>
      <c r="Y36" s="38">
        <f>SUM(Y5:Y34)</f>
        <v>3.7083333333333339</v>
      </c>
      <c r="Z36" s="39"/>
      <c r="AA36" s="32"/>
      <c r="AB36" s="38">
        <f>SUM(AB5:AB35)</f>
        <v>7.2499999999999991</v>
      </c>
      <c r="AC36" s="39"/>
      <c r="AD36" s="32"/>
      <c r="AE36" s="38">
        <f>SUM(AE7:AE34)</f>
        <v>6.5</v>
      </c>
      <c r="AF36" s="39"/>
      <c r="AG36" s="31"/>
      <c r="AH36" s="38">
        <f>SUM(AH5:AH34)</f>
        <v>1.6666666666666667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62.541666666666657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0.3125</v>
      </c>
      <c r="E42" s="199" t="s">
        <v>13</v>
      </c>
      <c r="F42" s="200"/>
      <c r="G42" s="81">
        <v>0.72916666666666663</v>
      </c>
      <c r="H42" s="199" t="s">
        <v>14</v>
      </c>
      <c r="I42" s="200"/>
      <c r="J42" s="81">
        <v>8.3333333333333329E-2</v>
      </c>
      <c r="K42" s="199" t="s">
        <v>15</v>
      </c>
      <c r="L42" s="200"/>
      <c r="M42" s="81">
        <v>0.3125</v>
      </c>
      <c r="N42" s="199" t="s">
        <v>16</v>
      </c>
      <c r="O42" s="200"/>
      <c r="P42" s="81">
        <v>0.3125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0.72916666666666663</v>
      </c>
      <c r="E43" s="201"/>
      <c r="F43" s="202"/>
      <c r="G43" s="81">
        <v>0.9375</v>
      </c>
      <c r="H43" s="201"/>
      <c r="I43" s="202"/>
      <c r="J43" s="81">
        <v>0.20833333333333334</v>
      </c>
      <c r="K43" s="201"/>
      <c r="L43" s="202"/>
      <c r="M43" s="81">
        <v>0.77083333333333337</v>
      </c>
      <c r="N43" s="201"/>
      <c r="O43" s="202"/>
      <c r="P43" s="81">
        <v>0.77083333333333337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>
        <v>0.27083333333333331</v>
      </c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64.625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>
        <v>0.35416666666666669</v>
      </c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0.41666666666666663</v>
      </c>
      <c r="E46" s="203"/>
      <c r="F46" s="204"/>
      <c r="G46" s="82">
        <f>(G43-G42)+(G45-G44)</f>
        <v>0.20833333333333337</v>
      </c>
      <c r="H46" s="203"/>
      <c r="I46" s="204"/>
      <c r="J46" s="82">
        <f>(J43-J42)+(J45-J44)</f>
        <v>0.20833333333333337</v>
      </c>
      <c r="K46" s="203"/>
      <c r="L46" s="204"/>
      <c r="M46" s="82">
        <f>(M43-M42)+(M45-M44)</f>
        <v>0.45833333333333337</v>
      </c>
      <c r="N46" s="203"/>
      <c r="O46" s="204"/>
      <c r="P46" s="82">
        <f>(P43-P42)+(P45-P44)</f>
        <v>0.45833333333333337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62.541666666666657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0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2.0833333333333428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-2.0833333333333428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0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2.0833333333333428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590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589" priority="54" stopIfTrue="1">
      <formula>IF(C5="S",TRUE,IF(C5="D",TRUE,FALSE))</formula>
    </cfRule>
  </conditionalFormatting>
  <conditionalFormatting sqref="AB49:AK49 AB53:AK53">
    <cfRule type="expression" dxfId="588" priority="53" stopIfTrue="1">
      <formula xml:space="preserve"> IF($G$38=100,IF($P$47&lt;$AI49,TRUE,FALSE),FALSE)</formula>
    </cfRule>
  </conditionalFormatting>
  <conditionalFormatting sqref="R34">
    <cfRule type="cellIs" dxfId="587" priority="51" stopIfTrue="1" operator="equal">
      <formula>"S"</formula>
    </cfRule>
    <cfRule type="cellIs" dxfId="586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585" priority="50" stopIfTrue="1">
      <formula>IF(C5="S",TRUE,IF(C5="D",TRUE,FALSE))</formula>
    </cfRule>
  </conditionalFormatting>
  <conditionalFormatting sqref="P47">
    <cfRule type="cellIs" dxfId="584" priority="48" stopIfTrue="1" operator="lessThan">
      <formula>1.33333333333333</formula>
    </cfRule>
    <cfRule type="cellIs" dxfId="583" priority="49" stopIfTrue="1" operator="greaterThan">
      <formula>1.83333333333333</formula>
    </cfRule>
  </conditionalFormatting>
  <conditionalFormatting sqref="E26:E27">
    <cfRule type="expression" dxfId="582" priority="47" stopIfTrue="1">
      <formula>IF(F26="S",TRUE, IF(F26="D", TRUE,FALSE))</formula>
    </cfRule>
  </conditionalFormatting>
  <conditionalFormatting sqref="E33:E34">
    <cfRule type="expression" dxfId="581" priority="46" stopIfTrue="1">
      <formula>IF(F33="S",TRUE, IF(F33="D", TRUE,FALSE))</formula>
    </cfRule>
  </conditionalFormatting>
  <conditionalFormatting sqref="H13">
    <cfRule type="expression" dxfId="580" priority="45" stopIfTrue="1">
      <formula>IF(I13="S",TRUE, IF(I13="D", TRUE,FALSE))</formula>
    </cfRule>
  </conditionalFormatting>
  <conditionalFormatting sqref="N8">
    <cfRule type="expression" dxfId="579" priority="44" stopIfTrue="1">
      <formula>IF(O8="S",TRUE, IF(O8="D", TRUE,FALSE))</formula>
    </cfRule>
  </conditionalFormatting>
  <conditionalFormatting sqref="K34:K35 K26:K28">
    <cfRule type="expression" dxfId="578" priority="43" stopIfTrue="1">
      <formula>IF(L26="S",TRUE, IF(L26="D", TRUE,FALSE))</formula>
    </cfRule>
  </conditionalFormatting>
  <conditionalFormatting sqref="T5:T8">
    <cfRule type="expression" dxfId="577" priority="42" stopIfTrue="1">
      <formula>IF(U5="S",TRUE, IF(U5="D", TRUE,FALSE))</formula>
    </cfRule>
  </conditionalFormatting>
  <conditionalFormatting sqref="Q26:Q30">
    <cfRule type="expression" dxfId="576" priority="41" stopIfTrue="1">
      <formula>IF(R26="S",TRUE, IF(R26="D", TRUE,FALSE))</formula>
    </cfRule>
  </conditionalFormatting>
  <conditionalFormatting sqref="Z20">
    <cfRule type="expression" dxfId="575" priority="40" stopIfTrue="1">
      <formula>IF(AA20="S",TRUE, IF(AA20="D", TRUE,FALSE))</formula>
    </cfRule>
  </conditionalFormatting>
  <conditionalFormatting sqref="W23">
    <cfRule type="expression" dxfId="574" priority="39" stopIfTrue="1">
      <formula>IF(X23="S",TRUE, IF(X23="D", TRUE,FALSE))</formula>
    </cfRule>
  </conditionalFormatting>
  <conditionalFormatting sqref="W29:W33">
    <cfRule type="expression" dxfId="573" priority="38" stopIfTrue="1">
      <formula>IF(X29="S",TRUE, IF(X29="D", TRUE,FALSE))</formula>
    </cfRule>
  </conditionalFormatting>
  <conditionalFormatting sqref="Z8 Z10">
    <cfRule type="expression" dxfId="572" priority="37" stopIfTrue="1">
      <formula>IF(AA8="S",TRUE, IF(AA8="D", TRUE,FALSE))</formula>
    </cfRule>
  </conditionalFormatting>
  <conditionalFormatting sqref="Z9">
    <cfRule type="expression" dxfId="571" priority="36" stopIfTrue="1">
      <formula>IF(AA9="S",TRUE, IF(AA9="D", TRUE,FALSE))</formula>
    </cfRule>
  </conditionalFormatting>
  <conditionalFormatting sqref="W10">
    <cfRule type="expression" dxfId="570" priority="35" stopIfTrue="1">
      <formula>IF(X10="S",TRUE, IF(X10="D", TRUE,FALSE))</formula>
    </cfRule>
  </conditionalFormatting>
  <conditionalFormatting sqref="AB29">
    <cfRule type="expression" dxfId="569" priority="34" stopIfTrue="1">
      <formula>IF(AA29="S",TRUE,IF(AA29="D",TRUE,FALSE))</formula>
    </cfRule>
  </conditionalFormatting>
  <conditionalFormatting sqref="Q33">
    <cfRule type="expression" dxfId="568" priority="33" stopIfTrue="1">
      <formula>IF(R33="S",TRUE, IF(R33="D", TRUE,FALSE))</formula>
    </cfRule>
  </conditionalFormatting>
  <conditionalFormatting sqref="T32">
    <cfRule type="expression" dxfId="567" priority="32" stopIfTrue="1">
      <formula>IF(U32="S",TRUE, IF(U32="D", TRUE,FALSE))</formula>
    </cfRule>
  </conditionalFormatting>
  <conditionalFormatting sqref="E23:E25">
    <cfRule type="expression" dxfId="566" priority="31" stopIfTrue="1">
      <formula>IF(F23="S",TRUE, IF(F23="D", TRUE,FALSE))</formula>
    </cfRule>
  </conditionalFormatting>
  <conditionalFormatting sqref="E28:E32">
    <cfRule type="expression" dxfId="565" priority="30" stopIfTrue="1">
      <formula>IF(F28="S",TRUE, IF(F28="D", TRUE,FALSE))</formula>
    </cfRule>
  </conditionalFormatting>
  <conditionalFormatting sqref="E35">
    <cfRule type="expression" dxfId="564" priority="29" stopIfTrue="1">
      <formula>IF(F35="S",TRUE, IF(F35="D", TRUE,FALSE))</formula>
    </cfRule>
  </conditionalFormatting>
  <conditionalFormatting sqref="G23:G25">
    <cfRule type="expression" dxfId="563" priority="28" stopIfTrue="1">
      <formula>IF(F23="S",TRUE,IF(F23="D",TRUE,FALSE))</formula>
    </cfRule>
  </conditionalFormatting>
  <conditionalFormatting sqref="G28:G32">
    <cfRule type="expression" dxfId="562" priority="27" stopIfTrue="1">
      <formula>IF(F28="S",TRUE,IF(F28="D",TRUE,FALSE))</formula>
    </cfRule>
  </conditionalFormatting>
  <conditionalFormatting sqref="G35">
    <cfRule type="expression" dxfId="561" priority="26" stopIfTrue="1">
      <formula>IF(F35="S",TRUE,IF(F35="D",TRUE,FALSE))</formula>
    </cfRule>
  </conditionalFormatting>
  <conditionalFormatting sqref="K30:K33">
    <cfRule type="expression" dxfId="560" priority="25" stopIfTrue="1">
      <formula>IF(L30="S",TRUE, IF(L30="D", TRUE,FALSE))</formula>
    </cfRule>
  </conditionalFormatting>
  <conditionalFormatting sqref="N6:N7">
    <cfRule type="expression" dxfId="559" priority="24" stopIfTrue="1">
      <formula>IF(O6="S",TRUE, IF(O6="D", TRUE,FALSE))</formula>
    </cfRule>
  </conditionalFormatting>
  <conditionalFormatting sqref="Q31:Q32">
    <cfRule type="expression" dxfId="558" priority="23" stopIfTrue="1">
      <formula>IF(R31="S",TRUE, IF(R31="D", TRUE,FALSE))</formula>
    </cfRule>
  </conditionalFormatting>
  <conditionalFormatting sqref="H5:H7">
    <cfRule type="expression" dxfId="557" priority="22" stopIfTrue="1">
      <formula>IF(I5="S",TRUE, IF(I5="D", TRUE,FALSE))</formula>
    </cfRule>
  </conditionalFormatting>
  <conditionalFormatting sqref="H15">
    <cfRule type="expression" dxfId="556" priority="21" stopIfTrue="1">
      <formula>IF(I15="S",TRUE, IF(I15="D", TRUE,FALSE))</formula>
    </cfRule>
  </conditionalFormatting>
  <conditionalFormatting sqref="T10:T12">
    <cfRule type="expression" dxfId="555" priority="20" stopIfTrue="1">
      <formula>IF(U10="S",TRUE, IF(U10="D", TRUE,FALSE))</formula>
    </cfRule>
  </conditionalFormatting>
  <conditionalFormatting sqref="W21">
    <cfRule type="expression" dxfId="554" priority="19" stopIfTrue="1">
      <formula>IF(X21="S",TRUE, IF(X21="D", TRUE,FALSE))</formula>
    </cfRule>
  </conditionalFormatting>
  <conditionalFormatting sqref="Z5:Z7">
    <cfRule type="expression" dxfId="553" priority="18" stopIfTrue="1">
      <formula>IF(AA5="S",TRUE, IF(AA5="D", TRUE,FALSE))</formula>
    </cfRule>
  </conditionalFormatting>
  <conditionalFormatting sqref="Z12:Z15">
    <cfRule type="expression" dxfId="552" priority="17" stopIfTrue="1">
      <formula>IF(AA12="S",TRUE, IF(AA12="D", TRUE,FALSE))</formula>
    </cfRule>
  </conditionalFormatting>
  <conditionalFormatting sqref="Z29">
    <cfRule type="expression" dxfId="551" priority="16" stopIfTrue="1">
      <formula>IF(AA29="S",TRUE, IF(AA29="D", TRUE,FALSE))</formula>
    </cfRule>
  </conditionalFormatting>
  <conditionalFormatting sqref="AB54:AK54">
    <cfRule type="expression" dxfId="550" priority="15" stopIfTrue="1">
      <formula>IF($P$47&gt;#REF!,TRUE,FALSE)</formula>
    </cfRule>
  </conditionalFormatting>
  <conditionalFormatting sqref="T9">
    <cfRule type="expression" dxfId="549" priority="14" stopIfTrue="1">
      <formula>IF(U9="S",TRUE, IF(U9="D", TRUE,FALSE))</formula>
    </cfRule>
  </conditionalFormatting>
  <conditionalFormatting sqref="Z11">
    <cfRule type="expression" dxfId="548" priority="13" stopIfTrue="1">
      <formula>IF(AA11="S",TRUE, IF(AA11="D", TRUE,FALSE))</formula>
    </cfRule>
  </conditionalFormatting>
  <conditionalFormatting sqref="AK32">
    <cfRule type="expression" dxfId="547" priority="12" stopIfTrue="1">
      <formula>IF(AJ32="S",TRUE,IF(AJ32="D",TRUE,FALSE))</formula>
    </cfRule>
  </conditionalFormatting>
  <conditionalFormatting sqref="AK31">
    <cfRule type="expression" dxfId="546" priority="11" stopIfTrue="1">
      <formula>IF(AJ31="S",TRUE,IF(AJ31="D",TRUE,FALSE))</formula>
    </cfRule>
  </conditionalFormatting>
  <conditionalFormatting sqref="AK30">
    <cfRule type="expression" dxfId="545" priority="10" stopIfTrue="1">
      <formula>IF(AJ30="S",TRUE,IF(AJ30="D",TRUE,FALSE))</formula>
    </cfRule>
  </conditionalFormatting>
  <conditionalFormatting sqref="AH14">
    <cfRule type="expression" dxfId="544" priority="9" stopIfTrue="1">
      <formula>IF(AG14="S",TRUE,IF(AG14="D",TRUE,FALSE))</formula>
    </cfRule>
  </conditionalFormatting>
  <conditionalFormatting sqref="AH15">
    <cfRule type="expression" dxfId="543" priority="8" stopIfTrue="1">
      <formula>IF(AG15="S",TRUE,IF(AG15="D",TRUE,FALSE))</formula>
    </cfRule>
  </conditionalFormatting>
  <conditionalFormatting sqref="AH16">
    <cfRule type="expression" dxfId="542" priority="7" stopIfTrue="1">
      <formula>IF(AG16="S",TRUE,IF(AG16="D",TRUE,FALSE))</formula>
    </cfRule>
  </conditionalFormatting>
  <conditionalFormatting sqref="G26:G27">
    <cfRule type="expression" dxfId="541" priority="6" stopIfTrue="1">
      <formula>IF(F26="S",TRUE,IF(F26="D",TRUE,FALSE))</formula>
    </cfRule>
  </conditionalFormatting>
  <conditionalFormatting sqref="G28:G30">
    <cfRule type="expression" dxfId="540" priority="5" stopIfTrue="1">
      <formula>IF(F28="S",TRUE,IF(F28="D",TRUE,FALSE))</formula>
    </cfRule>
  </conditionalFormatting>
  <conditionalFormatting sqref="AH12:AH13">
    <cfRule type="expression" dxfId="539" priority="4" stopIfTrue="1">
      <formula>IF(AG12="S",TRUE,IF(AG12="D",TRUE,FALSE))</formula>
    </cfRule>
  </conditionalFormatting>
  <conditionalFormatting sqref="AH14:AH16">
    <cfRule type="expression" dxfId="538" priority="3" stopIfTrue="1">
      <formula>IF(AG14="S",TRUE,IF(AG14="D",TRUE,FALSE))</formula>
    </cfRule>
  </conditionalFormatting>
  <conditionalFormatting sqref="AK30:AK31">
    <cfRule type="expression" dxfId="537" priority="2" stopIfTrue="1">
      <formula>IF(AJ30="S",TRUE,IF(AJ30="D",TRUE,FALSE))</formula>
    </cfRule>
  </conditionalFormatting>
  <conditionalFormatting sqref="AK32:AK34">
    <cfRule type="expression" dxfId="536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2945" r:id="rId4" name="ComboBox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27">
    <tabColor rgb="FFFF0000"/>
    <pageSetUpPr fitToPage="1"/>
  </sheetPr>
  <dimension ref="B1:BA74"/>
  <sheetViews>
    <sheetView showGridLines="0" zoomScaleNormal="115" workbookViewId="0">
      <selection activeCell="G8" sqref="G8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0.125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0.16666666666666669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0.16666666666666669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0.125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0.125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0.45833333333333337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0.45833333333333337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0.33333333333333337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0.45833333333333337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0.125</v>
      </c>
      <c r="E7" s="33">
        <v>3</v>
      </c>
      <c r="F7" s="87" t="str">
        <f>CHOOSE(WEEKDAY(Calendrier!C7,2),"L","Ma","Me","J","V","S","D")</f>
        <v>Me</v>
      </c>
      <c r="G7" s="65">
        <f t="shared" si="0"/>
        <v>0.4375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0.125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0.4375</v>
      </c>
      <c r="Z7" s="33">
        <v>3</v>
      </c>
      <c r="AA7" s="87" t="str">
        <f>CHOOSE(WEEKDAY(Calendrier!J7,2),"L","Ma","Me","J","V","S","D")</f>
        <v>V</v>
      </c>
      <c r="AB7" s="65">
        <f t="shared" si="10"/>
        <v>0.16666666666666669</v>
      </c>
      <c r="AC7" s="33">
        <v>3</v>
      </c>
      <c r="AD7" s="87" t="str">
        <f>CHOOSE(WEEKDAY(Calendrier!K7,2),"L","Ma","Me","J","V","S","D")</f>
        <v>L</v>
      </c>
      <c r="AE7" s="100">
        <f t="shared" si="5"/>
        <v>0.125</v>
      </c>
      <c r="AF7" s="33">
        <v>3</v>
      </c>
      <c r="AG7" s="87" t="str">
        <f>CHOOSE(WEEKDAY(Calendrier!L7,2),"L","Ma","Me","J","V","S","D")</f>
        <v>Me</v>
      </c>
      <c r="AH7" s="65">
        <f t="shared" si="6"/>
        <v>0.4375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0.45833333333333337</v>
      </c>
      <c r="E8" s="33">
        <v>4</v>
      </c>
      <c r="F8" s="87" t="str">
        <f>CHOOSE(WEEKDAY(Calendrier!C8,2),"L","Ma","Me","J","V","S","D")</f>
        <v>J</v>
      </c>
      <c r="G8" s="65">
        <v>0.4375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0.45833333333333337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0.125</v>
      </c>
      <c r="T8" s="33">
        <v>4</v>
      </c>
      <c r="U8" s="87" t="str">
        <f>CHOOSE(WEEKDAY(Calendrier!H8,2),"L","Ma","Me","J","V","S","D")</f>
        <v>L</v>
      </c>
      <c r="V8" s="100">
        <f t="shared" si="3"/>
        <v>0.125</v>
      </c>
      <c r="W8" s="33">
        <v>4</v>
      </c>
      <c r="X8" s="87" t="str">
        <f>CHOOSE(WEEKDAY(Calendrier!I8,2),"L","Ma","Me","J","V","S","D")</f>
        <v>J</v>
      </c>
      <c r="Y8" s="65">
        <f t="shared" si="4"/>
        <v>0.33333333333333337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0.45833333333333337</v>
      </c>
      <c r="AF8" s="33">
        <v>4</v>
      </c>
      <c r="AG8" s="87" t="str">
        <f>CHOOSE(WEEKDAY(Calendrier!L8,2),"L","Ma","Me","J","V","S","D")</f>
        <v>J</v>
      </c>
      <c r="AH8" s="65">
        <f t="shared" si="6"/>
        <v>0.33333333333333337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0.4375</v>
      </c>
      <c r="E9" s="33">
        <v>5</v>
      </c>
      <c r="F9" s="87" t="str">
        <f>CHOOSE(WEEKDAY(Calendrier!C9,2),"L","Ma","Me","J","V","S","D")</f>
        <v>V</v>
      </c>
      <c r="G9" s="65">
        <f t="shared" si="0"/>
        <v>0.16666666666666669</v>
      </c>
      <c r="H9" s="33">
        <v>5</v>
      </c>
      <c r="I9" s="87" t="str">
        <f>CHOOSE(WEEKDAY(Calendrier!D9,2),"L","Ma","Me","J","V","S","D")</f>
        <v>L</v>
      </c>
      <c r="J9" s="100">
        <f t="shared" si="11"/>
        <v>0.125</v>
      </c>
      <c r="K9" s="33">
        <v>5</v>
      </c>
      <c r="L9" s="87" t="str">
        <f>CHOOSE(WEEKDAY(Calendrier!E9,2),"L","Ma","Me","J","V","S","D")</f>
        <v>Me</v>
      </c>
      <c r="M9" s="65">
        <f t="shared" si="1"/>
        <v>0.4375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0.45833333333333337</v>
      </c>
      <c r="T9" s="33">
        <v>5</v>
      </c>
      <c r="U9" s="87" t="str">
        <f>CHOOSE(WEEKDAY(Calendrier!H9,2),"L","Ma","Me","J","V","S","D")</f>
        <v>Ma</v>
      </c>
      <c r="V9" s="100">
        <f t="shared" si="3"/>
        <v>0.45833333333333337</v>
      </c>
      <c r="W9" s="33">
        <v>5</v>
      </c>
      <c r="X9" s="87" t="str">
        <f>CHOOSE(WEEKDAY(Calendrier!I9,2),"L","Ma","Me","J","V","S","D")</f>
        <v>V</v>
      </c>
      <c r="Y9" s="65">
        <f t="shared" si="4"/>
        <v>0.16666666666666669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0.4375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0.33333333333333337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0.45833333333333337</v>
      </c>
      <c r="K10" s="33">
        <v>6</v>
      </c>
      <c r="L10" s="87" t="str">
        <f>CHOOSE(WEEKDAY(Calendrier!E10,2),"L","Ma","Me","J","V","S","D")</f>
        <v>J</v>
      </c>
      <c r="M10" s="65">
        <f t="shared" si="1"/>
        <v>0.33333333333333337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0.4375</v>
      </c>
      <c r="T10" s="33">
        <v>6</v>
      </c>
      <c r="U10" s="87" t="str">
        <f>CHOOSE(WEEKDAY(Calendrier!H10,2),"L","Ma","Me","J","V","S","D")</f>
        <v>Me</v>
      </c>
      <c r="V10" s="65">
        <f t="shared" si="3"/>
        <v>0.4375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0.125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0.33333333333333337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0.16666666666666669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0.4375</v>
      </c>
      <c r="K11" s="33">
        <v>7</v>
      </c>
      <c r="L11" s="87" t="str">
        <f>CHOOSE(WEEKDAY(Calendrier!E11,2),"L","Ma","Me","J","V","S","D")</f>
        <v>V</v>
      </c>
      <c r="M11" s="65">
        <f t="shared" si="1"/>
        <v>0.16666666666666669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0.125</v>
      </c>
      <c r="Q11" s="33">
        <v>7</v>
      </c>
      <c r="R11" s="87" t="str">
        <f>CHOOSE(WEEKDAY(Calendrier!G11,2),"L","Ma","Me","J","V","S","D")</f>
        <v>J</v>
      </c>
      <c r="S11" s="65">
        <f t="shared" si="2"/>
        <v>0.33333333333333337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0.33333333333333337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0.45833333333333337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0.16666666666666669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0.125</v>
      </c>
      <c r="H12" s="33">
        <v>8</v>
      </c>
      <c r="I12" s="87" t="str">
        <f>CHOOSE(WEEKDAY(Calendrier!D12,2),"L","Ma","Me","J","V","S","D")</f>
        <v>J</v>
      </c>
      <c r="J12" s="65">
        <v>0.41666666666666669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0.45833333333333337</v>
      </c>
      <c r="Q12" s="33">
        <v>8</v>
      </c>
      <c r="R12" s="87" t="str">
        <f>CHOOSE(WEEKDAY(Calendrier!G12,2),"L","Ma","Me","J","V","S","D")</f>
        <v>V</v>
      </c>
      <c r="S12" s="65">
        <f t="shared" si="2"/>
        <v>0.16666666666666669</v>
      </c>
      <c r="T12" s="33">
        <v>8</v>
      </c>
      <c r="U12" s="87" t="str">
        <f>CHOOSE(WEEKDAY(Calendrier!H12,2),"L","Ma","Me","J","V","S","D")</f>
        <v>V</v>
      </c>
      <c r="V12" s="65">
        <f t="shared" si="3"/>
        <v>0.16666666666666669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0.45833333333333337</v>
      </c>
      <c r="H13" s="33">
        <v>9</v>
      </c>
      <c r="I13" s="87" t="str">
        <f>CHOOSE(WEEKDAY(Calendrier!D13,2),"L","Ma","Me","J","V","S","D")</f>
        <v>V</v>
      </c>
      <c r="J13" s="65">
        <f t="shared" si="11"/>
        <v>0.16666666666666669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0.4375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0.33333333333333337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0.125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0.4375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0.125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0.33333333333333337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0.16666666666666669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0.45833333333333337</v>
      </c>
      <c r="E15" s="33">
        <v>11</v>
      </c>
      <c r="F15" s="87" t="str">
        <f>CHOOSE(WEEKDAY(Calendrier!C15,2),"L","Ma","Me","J","V","S","D")</f>
        <v>J</v>
      </c>
      <c r="G15" s="65">
        <f t="shared" si="0"/>
        <v>0.33333333333333337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0.45833333333333337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0.16666666666666669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0.125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0.45833333333333337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0.4375</v>
      </c>
      <c r="E16" s="33">
        <v>12</v>
      </c>
      <c r="F16" s="87" t="str">
        <f>CHOOSE(WEEKDAY(Calendrier!C16,2),"L","Ma","Me","J","V","S","D")</f>
        <v>V</v>
      </c>
      <c r="G16" s="65">
        <f t="shared" si="0"/>
        <v>0.16666666666666669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0.125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0.4375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0.45833333333333337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0.4375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0.33333333333333337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0.45833333333333337</v>
      </c>
      <c r="K17" s="33">
        <v>13</v>
      </c>
      <c r="L17" s="87" t="str">
        <f>CHOOSE(WEEKDAY(Calendrier!E17,2),"L","Ma","Me","J","V","S","D")</f>
        <v>J</v>
      </c>
      <c r="M17" s="65">
        <f t="shared" si="1"/>
        <v>0.33333333333333337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0.4375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0.125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0.33333333333333337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0.16666666666666669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0.4375</v>
      </c>
      <c r="K18" s="33">
        <v>14</v>
      </c>
      <c r="L18" s="87" t="str">
        <f>CHOOSE(WEEKDAY(Calendrier!E18,2),"L","Ma","Me","J","V","S","D")</f>
        <v>V</v>
      </c>
      <c r="M18" s="65">
        <f t="shared" si="1"/>
        <v>0.16666666666666669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0.125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0.33333333333333337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0.45833333333333337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0.16666666666666669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0.125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0.33333333333333337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0.45833333333333337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0.16666666666666669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0.4375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0.45833333333333337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0.16666666666666669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0.4375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0.33333333333333337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0.125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0.4375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0.125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0.33333333333333337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0.16666666666666669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0.125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0.45833333333333337</v>
      </c>
      <c r="E22" s="33">
        <v>18</v>
      </c>
      <c r="F22" s="87" t="str">
        <f>CHOOSE(WEEKDAY(Calendrier!C22,2),"L","Ma","Me","J","V","S","D")</f>
        <v>J</v>
      </c>
      <c r="G22" s="65">
        <f t="shared" si="0"/>
        <v>0.33333333333333337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0.45833333333333337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0.16666666666666669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0.125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0.45833333333333337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0.4375</v>
      </c>
      <c r="E23" s="33">
        <v>19</v>
      </c>
      <c r="F23" s="87" t="str">
        <f>CHOOSE(WEEKDAY(Calendrier!C23,2),"L","Ma","Me","J","V","S","D")</f>
        <v>V</v>
      </c>
      <c r="G23" s="65">
        <v>0.27083333333333331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0.125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0.4375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0.45833333333333337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0.4375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0.33333333333333337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0.45833333333333337</v>
      </c>
      <c r="K24" s="33">
        <v>20</v>
      </c>
      <c r="L24" s="87" t="str">
        <f>CHOOSE(WEEKDAY(Calendrier!E24,2),"L","Ma","Me","J","V","S","D")</f>
        <v>J</v>
      </c>
      <c r="M24" s="65">
        <f t="shared" si="1"/>
        <v>0.33333333333333337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0.4375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0.125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0.33333333333333337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0.16666666666666669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0.4375</v>
      </c>
      <c r="K25" s="33">
        <v>21</v>
      </c>
      <c r="L25" s="87" t="str">
        <f>CHOOSE(WEEKDAY(Calendrier!E25,2),"L","Ma","Me","J","V","S","D")</f>
        <v>V</v>
      </c>
      <c r="M25" s="65">
        <f t="shared" si="1"/>
        <v>0.16666666666666669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0.125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0.33333333333333337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0.45833333333333337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0.16666666666666669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0.33333333333333337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0.45833333333333337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0.16666666666666669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0.4375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0.16666666666666669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0.4375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0.45833333333333337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0.33333333333333337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0.125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0.33333333333333337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0.4375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0.16666666666666669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0.125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0.45833333333333337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0.16666666666666669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0.125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0.125</v>
      </c>
      <c r="W29" s="33">
        <v>25</v>
      </c>
      <c r="X29" s="87" t="str">
        <f>CHOOSE(WEEKDAY(Calendrier!I29,2),"L","Ma","Me","J","V","S","D")</f>
        <v>J</v>
      </c>
      <c r="Y29" s="65">
        <f t="shared" si="4"/>
        <v>0.33333333333333337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0.45833333333333337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0.4375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0.125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0.45833333333333337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0.45833333333333337</v>
      </c>
      <c r="W30" s="33">
        <v>26</v>
      </c>
      <c r="X30" s="87" t="str">
        <f>CHOOSE(WEEKDAY(Calendrier!I30,2),"L","Ma","Me","J","V","S","D")</f>
        <v>V</v>
      </c>
      <c r="Y30" s="65">
        <f t="shared" si="4"/>
        <v>0.16666666666666669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0.4375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0.33333333333333337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0.45833333333333337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0.4375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0.4375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0.125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0.33333333333333337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0.16666666666666669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0.4375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0.125</v>
      </c>
      <c r="Q32" s="33">
        <v>28</v>
      </c>
      <c r="R32" s="87" t="str">
        <f>CHOOSE(WEEKDAY(Calendrier!G32,2),"L","Ma","Me","J","V","S","D")</f>
        <v>J</v>
      </c>
      <c r="S32" s="65">
        <f t="shared" si="2"/>
        <v>0.33333333333333337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0.33333333333333337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0.45833333333333337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0.33333333333333337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0.45833333333333337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0.16666666666666669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0.125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0.4375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0.16666666666666669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0.4375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0.45833333333333337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0.33333333333333337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0.16666666666666669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6.083333333333333</v>
      </c>
      <c r="E36" s="39"/>
      <c r="F36" s="31"/>
      <c r="G36" s="37">
        <f>SUM(G5:G35)</f>
        <v>5.020833333333333</v>
      </c>
      <c r="H36" s="40"/>
      <c r="I36" s="28"/>
      <c r="J36" s="38">
        <f>SUM(J5:J35)</f>
        <v>6.166666666666667</v>
      </c>
      <c r="K36" s="39"/>
      <c r="L36" s="31"/>
      <c r="M36" s="38">
        <f>SUM(M5:M35)</f>
        <v>4.5625</v>
      </c>
      <c r="N36" s="39"/>
      <c r="O36" s="32"/>
      <c r="P36" s="38">
        <f>SUM(P5:P35)</f>
        <v>5.9166666666666661</v>
      </c>
      <c r="Q36" s="41"/>
      <c r="R36" s="29"/>
      <c r="S36" s="38">
        <f>SUM(S5:S35)</f>
        <v>3.041666666666667</v>
      </c>
      <c r="T36" s="39"/>
      <c r="U36" s="32"/>
      <c r="V36" s="38">
        <f>SUM(V5:V35)</f>
        <v>6.25</v>
      </c>
      <c r="W36" s="39"/>
      <c r="X36" s="32"/>
      <c r="Y36" s="38">
        <f>SUM(Y5:Y34)</f>
        <v>3.5000000000000004</v>
      </c>
      <c r="Z36" s="39"/>
      <c r="AA36" s="32"/>
      <c r="AB36" s="38">
        <f>SUM(AB5:AB35)</f>
        <v>5.8125</v>
      </c>
      <c r="AC36" s="39"/>
      <c r="AD36" s="32"/>
      <c r="AE36" s="38">
        <f>SUM(AE7:AE34)</f>
        <v>6.166666666666667</v>
      </c>
      <c r="AF36" s="39"/>
      <c r="AG36" s="31"/>
      <c r="AH36" s="38">
        <f>SUM(AH5:AH34)</f>
        <v>1.729166666666667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54.25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>
        <v>8.3333333333333339</v>
      </c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0.375</v>
      </c>
      <c r="E42" s="199" t="s">
        <v>13</v>
      </c>
      <c r="F42" s="200"/>
      <c r="G42" s="81">
        <v>0.3125</v>
      </c>
      <c r="H42" s="199" t="s">
        <v>14</v>
      </c>
      <c r="I42" s="200"/>
      <c r="J42" s="81">
        <v>0.3125</v>
      </c>
      <c r="K42" s="199" t="s">
        <v>15</v>
      </c>
      <c r="L42" s="200"/>
      <c r="M42" s="81">
        <v>0.60416666666666663</v>
      </c>
      <c r="N42" s="199" t="s">
        <v>16</v>
      </c>
      <c r="O42" s="200"/>
      <c r="P42" s="81">
        <v>8.3333333333333329E-2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0.5</v>
      </c>
      <c r="E43" s="201"/>
      <c r="F43" s="202"/>
      <c r="G43" s="81">
        <v>0.77083333333333337</v>
      </c>
      <c r="H43" s="201"/>
      <c r="I43" s="202"/>
      <c r="J43" s="81">
        <v>0.75</v>
      </c>
      <c r="K43" s="201"/>
      <c r="L43" s="202"/>
      <c r="M43" s="81">
        <v>0.9375</v>
      </c>
      <c r="N43" s="201"/>
      <c r="O43" s="202"/>
      <c r="P43" s="81">
        <v>0.20833333333333334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/>
      <c r="N44" s="201"/>
      <c r="O44" s="202"/>
      <c r="P44" s="81">
        <v>0.27083333333333331</v>
      </c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56.291666666666657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/>
      <c r="N45" s="201"/>
      <c r="O45" s="202"/>
      <c r="P45" s="81">
        <v>0.3125</v>
      </c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0.125</v>
      </c>
      <c r="E46" s="203"/>
      <c r="F46" s="204"/>
      <c r="G46" s="82">
        <f>(G43-G42)+(G45-G44)</f>
        <v>0.45833333333333337</v>
      </c>
      <c r="H46" s="203"/>
      <c r="I46" s="204"/>
      <c r="J46" s="82">
        <f>(J43-J42)+(J45-J44)</f>
        <v>0.4375</v>
      </c>
      <c r="K46" s="203"/>
      <c r="L46" s="204"/>
      <c r="M46" s="82">
        <f>(M43-M42)+(M45-M44)</f>
        <v>0.33333333333333337</v>
      </c>
      <c r="N46" s="203"/>
      <c r="O46" s="204"/>
      <c r="P46" s="82">
        <f>(P43-P42)+(P45-P44)</f>
        <v>0.16666666666666669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54.25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1.5208333333333335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0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2.0416666666666572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-2.0416666666666572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0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2.0416666666666572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535" priority="51" stopIfTrue="1">
      <formula>IF(C5="S",TRUE, IF(C5="D", TRUE,FALSE))</formula>
    </cfRule>
  </conditionalFormatting>
  <conditionalFormatting sqref="D5:D34 G5:G22 J5:J34 V5:V35 G26:G27 G33:G34 P5:P35 S5:S33 Y5:Y34 M5:M35 AB5:AB28 AB30:AB35 AE5:AE34 AK5:AK35 AH5:AH35">
    <cfRule type="expression" dxfId="534" priority="50" stopIfTrue="1">
      <formula>IF(C5="S",TRUE,IF(C5="D",TRUE,FALSE))</formula>
    </cfRule>
  </conditionalFormatting>
  <conditionalFormatting sqref="AB49:AK49 AB53:AK53">
    <cfRule type="expression" dxfId="533" priority="49" stopIfTrue="1">
      <formula xml:space="preserve"> IF($G$38=100,IF($P$47&lt;$AI49,TRUE,FALSE),FALSE)</formula>
    </cfRule>
  </conditionalFormatting>
  <conditionalFormatting sqref="R34">
    <cfRule type="cellIs" dxfId="532" priority="47" stopIfTrue="1" operator="equal">
      <formula>"S"</formula>
    </cfRule>
    <cfRule type="cellIs" dxfId="531" priority="48" stopIfTrue="1" operator="equal">
      <formula>"D"</formula>
    </cfRule>
  </conditionalFormatting>
  <conditionalFormatting sqref="C5:C35 O5:O35 F5:F35 L5:L35 I5:I34 X5:X34 AD5:AD34 AG5:AG35 AJ5:AJ35 R5:R33 U5:U35 AA5:AA35">
    <cfRule type="expression" dxfId="530" priority="46" stopIfTrue="1">
      <formula>IF(C5="S",TRUE,IF(C5="D",TRUE,FALSE))</formula>
    </cfRule>
  </conditionalFormatting>
  <conditionalFormatting sqref="P47">
    <cfRule type="cellIs" dxfId="529" priority="44" stopIfTrue="1" operator="lessThan">
      <formula>1.33333333333333</formula>
    </cfRule>
    <cfRule type="cellIs" dxfId="528" priority="45" stopIfTrue="1" operator="greaterThan">
      <formula>1.83333333333333</formula>
    </cfRule>
  </conditionalFormatting>
  <conditionalFormatting sqref="E26:E27">
    <cfRule type="expression" dxfId="527" priority="43" stopIfTrue="1">
      <formula>IF(F26="S",TRUE, IF(F26="D", TRUE,FALSE))</formula>
    </cfRule>
  </conditionalFormatting>
  <conditionalFormatting sqref="E33:E34">
    <cfRule type="expression" dxfId="526" priority="42" stopIfTrue="1">
      <formula>IF(F33="S",TRUE, IF(F33="D", TRUE,FALSE))</formula>
    </cfRule>
  </conditionalFormatting>
  <conditionalFormatting sqref="H13">
    <cfRule type="expression" dxfId="525" priority="41" stopIfTrue="1">
      <formula>IF(I13="S",TRUE, IF(I13="D", TRUE,FALSE))</formula>
    </cfRule>
  </conditionalFormatting>
  <conditionalFormatting sqref="N8">
    <cfRule type="expression" dxfId="524" priority="40" stopIfTrue="1">
      <formula>IF(O8="S",TRUE, IF(O8="D", TRUE,FALSE))</formula>
    </cfRule>
  </conditionalFormatting>
  <conditionalFormatting sqref="K34:K35 K26:K28">
    <cfRule type="expression" dxfId="523" priority="39" stopIfTrue="1">
      <formula>IF(L26="S",TRUE, IF(L26="D", TRUE,FALSE))</formula>
    </cfRule>
  </conditionalFormatting>
  <conditionalFormatting sqref="T5:T8">
    <cfRule type="expression" dxfId="522" priority="38" stopIfTrue="1">
      <formula>IF(U5="S",TRUE, IF(U5="D", TRUE,FALSE))</formula>
    </cfRule>
  </conditionalFormatting>
  <conditionalFormatting sqref="Q26:Q30">
    <cfRule type="expression" dxfId="521" priority="37" stopIfTrue="1">
      <formula>IF(R26="S",TRUE, IF(R26="D", TRUE,FALSE))</formula>
    </cfRule>
  </conditionalFormatting>
  <conditionalFormatting sqref="Z20">
    <cfRule type="expression" dxfId="520" priority="36" stopIfTrue="1">
      <formula>IF(AA20="S",TRUE, IF(AA20="D", TRUE,FALSE))</formula>
    </cfRule>
  </conditionalFormatting>
  <conditionalFormatting sqref="W23">
    <cfRule type="expression" dxfId="519" priority="35" stopIfTrue="1">
      <formula>IF(X23="S",TRUE, IF(X23="D", TRUE,FALSE))</formula>
    </cfRule>
  </conditionalFormatting>
  <conditionalFormatting sqref="W29:W33">
    <cfRule type="expression" dxfId="518" priority="34" stopIfTrue="1">
      <formula>IF(X29="S",TRUE, IF(X29="D", TRUE,FALSE))</formula>
    </cfRule>
  </conditionalFormatting>
  <conditionalFormatting sqref="Z8 Z10">
    <cfRule type="expression" dxfId="517" priority="33" stopIfTrue="1">
      <formula>IF(AA8="S",TRUE, IF(AA8="D", TRUE,FALSE))</formula>
    </cfRule>
  </conditionalFormatting>
  <conditionalFormatting sqref="Z9">
    <cfRule type="expression" dxfId="516" priority="32" stopIfTrue="1">
      <formula>IF(AA9="S",TRUE, IF(AA9="D", TRUE,FALSE))</formula>
    </cfRule>
  </conditionalFormatting>
  <conditionalFormatting sqref="W10">
    <cfRule type="expression" dxfId="515" priority="31" stopIfTrue="1">
      <formula>IF(X10="S",TRUE, IF(X10="D", TRUE,FALSE))</formula>
    </cfRule>
  </conditionalFormatting>
  <conditionalFormatting sqref="AB29">
    <cfRule type="expression" dxfId="514" priority="30" stopIfTrue="1">
      <formula>IF(AA29="S",TRUE,IF(AA29="D",TRUE,FALSE))</formula>
    </cfRule>
  </conditionalFormatting>
  <conditionalFormatting sqref="Q33">
    <cfRule type="expression" dxfId="513" priority="29" stopIfTrue="1">
      <formula>IF(R33="S",TRUE, IF(R33="D", TRUE,FALSE))</formula>
    </cfRule>
  </conditionalFormatting>
  <conditionalFormatting sqref="T32">
    <cfRule type="expression" dxfId="512" priority="28" stopIfTrue="1">
      <formula>IF(U32="S",TRUE, IF(U32="D", TRUE,FALSE))</formula>
    </cfRule>
  </conditionalFormatting>
  <conditionalFormatting sqref="E23:E25">
    <cfRule type="expression" dxfId="511" priority="27" stopIfTrue="1">
      <formula>IF(F23="S",TRUE, IF(F23="D", TRUE,FALSE))</formula>
    </cfRule>
  </conditionalFormatting>
  <conditionalFormatting sqref="E28:E32">
    <cfRule type="expression" dxfId="510" priority="26" stopIfTrue="1">
      <formula>IF(F28="S",TRUE, IF(F28="D", TRUE,FALSE))</formula>
    </cfRule>
  </conditionalFormatting>
  <conditionalFormatting sqref="E35">
    <cfRule type="expression" dxfId="509" priority="25" stopIfTrue="1">
      <formula>IF(F35="S",TRUE, IF(F35="D", TRUE,FALSE))</formula>
    </cfRule>
  </conditionalFormatting>
  <conditionalFormatting sqref="G23:G25">
    <cfRule type="expression" dxfId="508" priority="24" stopIfTrue="1">
      <formula>IF(F23="S",TRUE,IF(F23="D",TRUE,FALSE))</formula>
    </cfRule>
  </conditionalFormatting>
  <conditionalFormatting sqref="G28:G32">
    <cfRule type="expression" dxfId="507" priority="23" stopIfTrue="1">
      <formula>IF(F28="S",TRUE,IF(F28="D",TRUE,FALSE))</formula>
    </cfRule>
  </conditionalFormatting>
  <conditionalFormatting sqref="G35">
    <cfRule type="expression" dxfId="506" priority="22" stopIfTrue="1">
      <formula>IF(F35="S",TRUE,IF(F35="D",TRUE,FALSE))</formula>
    </cfRule>
  </conditionalFormatting>
  <conditionalFormatting sqref="K30:K33">
    <cfRule type="expression" dxfId="505" priority="21" stopIfTrue="1">
      <formula>IF(L30="S",TRUE, IF(L30="D", TRUE,FALSE))</formula>
    </cfRule>
  </conditionalFormatting>
  <conditionalFormatting sqref="N6:N7">
    <cfRule type="expression" dxfId="504" priority="20" stopIfTrue="1">
      <formula>IF(O6="S",TRUE, IF(O6="D", TRUE,FALSE))</formula>
    </cfRule>
  </conditionalFormatting>
  <conditionalFormatting sqref="Q31:Q32">
    <cfRule type="expression" dxfId="503" priority="19" stopIfTrue="1">
      <formula>IF(R31="S",TRUE, IF(R31="D", TRUE,FALSE))</formula>
    </cfRule>
  </conditionalFormatting>
  <conditionalFormatting sqref="H5:H7">
    <cfRule type="expression" dxfId="502" priority="18" stopIfTrue="1">
      <formula>IF(I5="S",TRUE, IF(I5="D", TRUE,FALSE))</formula>
    </cfRule>
  </conditionalFormatting>
  <conditionalFormatting sqref="H15">
    <cfRule type="expression" dxfId="501" priority="17" stopIfTrue="1">
      <formula>IF(I15="S",TRUE, IF(I15="D", TRUE,FALSE))</formula>
    </cfRule>
  </conditionalFormatting>
  <conditionalFormatting sqref="T10:T12">
    <cfRule type="expression" dxfId="500" priority="16" stopIfTrue="1">
      <formula>IF(U10="S",TRUE, IF(U10="D", TRUE,FALSE))</formula>
    </cfRule>
  </conditionalFormatting>
  <conditionalFormatting sqref="W21">
    <cfRule type="expression" dxfId="499" priority="15" stopIfTrue="1">
      <formula>IF(X21="S",TRUE, IF(X21="D", TRUE,FALSE))</formula>
    </cfRule>
  </conditionalFormatting>
  <conditionalFormatting sqref="Z5:Z7">
    <cfRule type="expression" dxfId="498" priority="14" stopIfTrue="1">
      <formula>IF(AA5="S",TRUE, IF(AA5="D", TRUE,FALSE))</formula>
    </cfRule>
  </conditionalFormatting>
  <conditionalFormatting sqref="Z12:Z15">
    <cfRule type="expression" dxfId="497" priority="13" stopIfTrue="1">
      <formula>IF(AA12="S",TRUE, IF(AA12="D", TRUE,FALSE))</formula>
    </cfRule>
  </conditionalFormatting>
  <conditionalFormatting sqref="Z29">
    <cfRule type="expression" dxfId="496" priority="12" stopIfTrue="1">
      <formula>IF(AA29="S",TRUE, IF(AA29="D", TRUE,FALSE))</formula>
    </cfRule>
  </conditionalFormatting>
  <conditionalFormatting sqref="AB54:AK54">
    <cfRule type="expression" dxfId="495" priority="11" stopIfTrue="1">
      <formula>IF($P$47&gt;#REF!,TRUE,FALSE)</formula>
    </cfRule>
  </conditionalFormatting>
  <conditionalFormatting sqref="T9">
    <cfRule type="expression" dxfId="494" priority="10" stopIfTrue="1">
      <formula>IF(U9="S",TRUE, IF(U9="D", TRUE,FALSE))</formula>
    </cfRule>
  </conditionalFormatting>
  <conditionalFormatting sqref="Z11">
    <cfRule type="expression" dxfId="493" priority="9" stopIfTrue="1">
      <formula>IF(AA11="S",TRUE, IF(AA11="D", TRUE,FALSE))</formula>
    </cfRule>
  </conditionalFormatting>
  <conditionalFormatting sqref="AK32">
    <cfRule type="expression" dxfId="492" priority="8" stopIfTrue="1">
      <formula>IF(AJ32="S",TRUE,IF(AJ32="D",TRUE,FALSE))</formula>
    </cfRule>
  </conditionalFormatting>
  <conditionalFormatting sqref="AK31">
    <cfRule type="expression" dxfId="491" priority="7" stopIfTrue="1">
      <formula>IF(AJ31="S",TRUE,IF(AJ31="D",TRUE,FALSE))</formula>
    </cfRule>
  </conditionalFormatting>
  <conditionalFormatting sqref="AK30">
    <cfRule type="expression" dxfId="490" priority="6" stopIfTrue="1">
      <formula>IF(AJ30="S",TRUE,IF(AJ30="D",TRUE,FALSE))</formula>
    </cfRule>
  </conditionalFormatting>
  <conditionalFormatting sqref="AH14">
    <cfRule type="expression" dxfId="489" priority="5" stopIfTrue="1">
      <formula>IF(AG14="S",TRUE,IF(AG14="D",TRUE,FALSE))</formula>
    </cfRule>
  </conditionalFormatting>
  <conditionalFormatting sqref="AH15">
    <cfRule type="expression" dxfId="488" priority="4" stopIfTrue="1">
      <formula>IF(AG15="S",TRUE,IF(AG15="D",TRUE,FALSE))</formula>
    </cfRule>
  </conditionalFormatting>
  <conditionalFormatting sqref="AH16">
    <cfRule type="expression" dxfId="487" priority="3" stopIfTrue="1">
      <formula>IF(AG16="S",TRUE,IF(AG16="D",TRUE,FALSE))</formula>
    </cfRule>
  </conditionalFormatting>
  <conditionalFormatting sqref="AK32:AK34">
    <cfRule type="expression" dxfId="486" priority="2" stopIfTrue="1">
      <formula>IF(AJ32="S",TRUE,IF(AJ32="D",TRUE,FALSE))</formula>
    </cfRule>
  </conditionalFormatting>
  <conditionalFormatting sqref="AH14:AH16">
    <cfRule type="expression" dxfId="485" priority="1" stopIfTrue="1">
      <formula>IF(AG14="S",TRUE,IF(AG14="D",TRUE,FALSE))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3969" r:id="rId4" name="ComboBox1"/>
  </controls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25">
    <tabColor rgb="FFFF0000"/>
    <pageSetUpPr fitToPage="1"/>
  </sheetPr>
  <dimension ref="B1:BA74"/>
  <sheetViews>
    <sheetView showGridLines="0" zoomScaleNormal="115" workbookViewId="0">
      <selection activeCell="H10" sqref="H10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1" si="0">IF(F5="L",$D$46,IF(F5="Ma",$G$46,IF(F5="Me",$J$46,IF(F5="J",$M$46,IF(F5="V",$P$46,"")))))</f>
        <v>0.41666666666666663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0.4375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0.4375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0.41666666666666663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0.41666666666666663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0.22916666666666663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0.22916666666666663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0.25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0.22916666666666663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v>0.5625</v>
      </c>
      <c r="E7" s="33">
        <v>3</v>
      </c>
      <c r="F7" s="87" t="str">
        <f>CHOOSE(WEEKDAY(Calendrier!C7,2),"L","Ma","Me","J","V","S","D")</f>
        <v>Me</v>
      </c>
      <c r="G7" s="65">
        <f t="shared" si="0"/>
        <v>0.16666666666666669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0.41666666666666663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0.16666666666666669</v>
      </c>
      <c r="Z7" s="33">
        <v>3</v>
      </c>
      <c r="AA7" s="87" t="str">
        <f>CHOOSE(WEEKDAY(Calendrier!J7,2),"L","Ma","Me","J","V","S","D")</f>
        <v>V</v>
      </c>
      <c r="AB7" s="65">
        <f t="shared" si="10"/>
        <v>0.4375</v>
      </c>
      <c r="AC7" s="33">
        <v>3</v>
      </c>
      <c r="AD7" s="87" t="str">
        <f>CHOOSE(WEEKDAY(Calendrier!K7,2),"L","Ma","Me","J","V","S","D")</f>
        <v>L</v>
      </c>
      <c r="AE7" s="100">
        <f t="shared" si="5"/>
        <v>0.41666666666666663</v>
      </c>
      <c r="AF7" s="33">
        <v>3</v>
      </c>
      <c r="AG7" s="87" t="str">
        <f>CHOOSE(WEEKDAY(Calendrier!L7,2),"L","Ma","Me","J","V","S","D")</f>
        <v>Me</v>
      </c>
      <c r="AH7" s="65">
        <f t="shared" si="6"/>
        <v>0.16666666666666669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0.22916666666666663</v>
      </c>
      <c r="E8" s="33">
        <v>4</v>
      </c>
      <c r="F8" s="87" t="str">
        <f>CHOOSE(WEEKDAY(Calendrier!C8,2),"L","Ma","Me","J","V","S","D")</f>
        <v>J</v>
      </c>
      <c r="G8" s="65">
        <f t="shared" si="0"/>
        <v>0.25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0.22916666666666663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0.41666666666666663</v>
      </c>
      <c r="T8" s="33">
        <v>4</v>
      </c>
      <c r="U8" s="87" t="str">
        <f>CHOOSE(WEEKDAY(Calendrier!H8,2),"L","Ma","Me","J","V","S","D")</f>
        <v>L</v>
      </c>
      <c r="V8" s="100">
        <f t="shared" si="3"/>
        <v>0.41666666666666663</v>
      </c>
      <c r="W8" s="33">
        <v>4</v>
      </c>
      <c r="X8" s="87" t="str">
        <f>CHOOSE(WEEKDAY(Calendrier!I8,2),"L","Ma","Me","J","V","S","D")</f>
        <v>J</v>
      </c>
      <c r="Y8" s="65">
        <f t="shared" si="4"/>
        <v>0.25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0.22916666666666663</v>
      </c>
      <c r="AF8" s="33">
        <v>4</v>
      </c>
      <c r="AG8" s="87" t="str">
        <f>CHOOSE(WEEKDAY(Calendrier!L8,2),"L","Ma","Me","J","V","S","D")</f>
        <v>J</v>
      </c>
      <c r="AH8" s="65">
        <f t="shared" si="6"/>
        <v>0.25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0.16666666666666669</v>
      </c>
      <c r="E9" s="33">
        <v>5</v>
      </c>
      <c r="F9" s="87" t="str">
        <f>CHOOSE(WEEKDAY(Calendrier!C9,2),"L","Ma","Me","J","V","S","D")</f>
        <v>V</v>
      </c>
      <c r="G9" s="65">
        <f t="shared" si="0"/>
        <v>0.4375</v>
      </c>
      <c r="H9" s="33">
        <v>5</v>
      </c>
      <c r="I9" s="87" t="str">
        <f>CHOOSE(WEEKDAY(Calendrier!D9,2),"L","Ma","Me","J","V","S","D")</f>
        <v>L</v>
      </c>
      <c r="J9" s="100">
        <f t="shared" si="11"/>
        <v>0.41666666666666663</v>
      </c>
      <c r="K9" s="33">
        <v>5</v>
      </c>
      <c r="L9" s="87" t="str">
        <f>CHOOSE(WEEKDAY(Calendrier!E9,2),"L","Ma","Me","J","V","S","D")</f>
        <v>Me</v>
      </c>
      <c r="M9" s="65">
        <v>0.29166666666666669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0.22916666666666663</v>
      </c>
      <c r="T9" s="33">
        <v>5</v>
      </c>
      <c r="U9" s="87" t="str">
        <f>CHOOSE(WEEKDAY(Calendrier!H9,2),"L","Ma","Me","J","V","S","D")</f>
        <v>Ma</v>
      </c>
      <c r="V9" s="100">
        <f t="shared" si="3"/>
        <v>0.22916666666666663</v>
      </c>
      <c r="W9" s="33">
        <v>5</v>
      </c>
      <c r="X9" s="87" t="str">
        <f>CHOOSE(WEEKDAY(Calendrier!I9,2),"L","Ma","Me","J","V","S","D")</f>
        <v>V</v>
      </c>
      <c r="Y9" s="65">
        <f t="shared" si="4"/>
        <v>0.4375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0.16666666666666669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0.25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0.22916666666666663</v>
      </c>
      <c r="K10" s="33">
        <v>6</v>
      </c>
      <c r="L10" s="87" t="str">
        <f>CHOOSE(WEEKDAY(Calendrier!E10,2),"L","Ma","Me","J","V","S","D")</f>
        <v>J</v>
      </c>
      <c r="M10" s="65">
        <f t="shared" si="1"/>
        <v>0.25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0.16666666666666669</v>
      </c>
      <c r="T10" s="33">
        <v>6</v>
      </c>
      <c r="U10" s="87" t="str">
        <f>CHOOSE(WEEKDAY(Calendrier!H10,2),"L","Ma","Me","J","V","S","D")</f>
        <v>Me</v>
      </c>
      <c r="V10" s="65">
        <f t="shared" si="3"/>
        <v>0.16666666666666669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0.41666666666666663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0.25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0.4375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0.16666666666666669</v>
      </c>
      <c r="K11" s="33">
        <v>7</v>
      </c>
      <c r="L11" s="87" t="str">
        <f>CHOOSE(WEEKDAY(Calendrier!E11,2),"L","Ma","Me","J","V","S","D")</f>
        <v>V</v>
      </c>
      <c r="M11" s="65">
        <f t="shared" si="1"/>
        <v>0.4375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0.41666666666666663</v>
      </c>
      <c r="Q11" s="33">
        <v>7</v>
      </c>
      <c r="R11" s="87" t="str">
        <f>CHOOSE(WEEKDAY(Calendrier!G11,2),"L","Ma","Me","J","V","S","D")</f>
        <v>J</v>
      </c>
      <c r="S11" s="65">
        <f t="shared" si="2"/>
        <v>0.25</v>
      </c>
      <c r="T11" s="33">
        <v>7</v>
      </c>
      <c r="U11" s="87" t="str">
        <f>CHOOSE(WEEKDAY(Calendrier!H11,2),"L","Ma","Me","J","V","S","D")</f>
        <v>J</v>
      </c>
      <c r="V11" s="65">
        <f t="shared" si="3"/>
        <v>0.25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0.22916666666666663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0.4375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0.41666666666666663</v>
      </c>
      <c r="H12" s="33">
        <v>8</v>
      </c>
      <c r="I12" s="87" t="str">
        <f>CHOOSE(WEEKDAY(Calendrier!D12,2),"L","Ma","Me","J","V","S","D")</f>
        <v>J</v>
      </c>
      <c r="J12" s="65">
        <v>0.45833333333333331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0.22916666666666663</v>
      </c>
      <c r="Q12" s="33">
        <v>8</v>
      </c>
      <c r="R12" s="87" t="str">
        <f>CHOOSE(WEEKDAY(Calendrier!G12,2),"L","Ma","Me","J","V","S","D")</f>
        <v>V</v>
      </c>
      <c r="S12" s="65">
        <f t="shared" si="2"/>
        <v>0.4375</v>
      </c>
      <c r="T12" s="33">
        <v>8</v>
      </c>
      <c r="U12" s="87" t="str">
        <f>CHOOSE(WEEKDAY(Calendrier!H12,2),"L","Ma","Me","J","V","S","D")</f>
        <v>V</v>
      </c>
      <c r="V12" s="65">
        <f t="shared" si="3"/>
        <v>0.4375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0.22916666666666663</v>
      </c>
      <c r="H13" s="33">
        <v>9</v>
      </c>
      <c r="I13" s="87" t="str">
        <f>CHOOSE(WEEKDAY(Calendrier!D13,2),"L","Ma","Me","J","V","S","D")</f>
        <v>V</v>
      </c>
      <c r="J13" s="65">
        <f t="shared" si="11"/>
        <v>0.4375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0.16666666666666669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0.25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0.41666666666666663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0.16666666666666669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0.41666666666666663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0.25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0.4375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0.22916666666666663</v>
      </c>
      <c r="E15" s="33">
        <v>11</v>
      </c>
      <c r="F15" s="87" t="str">
        <f>CHOOSE(WEEKDAY(Calendrier!C15,2),"L","Ma","Me","J","V","S","D")</f>
        <v>J</v>
      </c>
      <c r="G15" s="65">
        <v>0.41666666666666669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0.22916666666666663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0.4375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0.41666666666666663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0.22916666666666663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0.16666666666666669</v>
      </c>
      <c r="E16" s="33">
        <v>12</v>
      </c>
      <c r="F16" s="87" t="str">
        <f>CHOOSE(WEEKDAY(Calendrier!C16,2),"L","Ma","Me","J","V","S","D")</f>
        <v>V</v>
      </c>
      <c r="G16" s="65">
        <f t="shared" si="0"/>
        <v>0.4375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0.41666666666666663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0.16666666666666669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0.22916666666666663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0.16666666666666669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0.25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0.22916666666666663</v>
      </c>
      <c r="K17" s="33">
        <v>13</v>
      </c>
      <c r="L17" s="87" t="str">
        <f>CHOOSE(WEEKDAY(Calendrier!E17,2),"L","Ma","Me","J","V","S","D")</f>
        <v>J</v>
      </c>
      <c r="M17" s="65">
        <f t="shared" si="1"/>
        <v>0.25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0.16666666666666669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0.41666666666666663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0.25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0.4375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0.16666666666666669</v>
      </c>
      <c r="K18" s="33">
        <v>14</v>
      </c>
      <c r="L18" s="87" t="str">
        <f>CHOOSE(WEEKDAY(Calendrier!E18,2),"L","Ma","Me","J","V","S","D")</f>
        <v>V</v>
      </c>
      <c r="M18" s="65">
        <f t="shared" si="1"/>
        <v>0.4375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0.41666666666666663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0.25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0.22916666666666663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0.4375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0.41666666666666663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0.25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0.22916666666666663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0.4375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0.16666666666666669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v>0.60416666666666663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0.4375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0.16666666666666669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0.25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0.41666666666666663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0.16666666666666669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0.41666666666666663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0.25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0.4375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0.41666666666666663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0.22916666666666663</v>
      </c>
      <c r="E22" s="33">
        <v>18</v>
      </c>
      <c r="F22" s="87" t="str">
        <f>CHOOSE(WEEKDAY(Calendrier!C22,2),"L","Ma","Me","J","V","S","D")</f>
        <v>J</v>
      </c>
      <c r="G22" s="65">
        <v>0.35416666666666669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0.22916666666666663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0.4375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0.41666666666666663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0.22916666666666663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0.16666666666666669</v>
      </c>
      <c r="E23" s="33">
        <v>19</v>
      </c>
      <c r="F23" s="87" t="str">
        <f>CHOOSE(WEEKDAY(Calendrier!C23,2),"L","Ma","Me","J","V","S","D")</f>
        <v>V</v>
      </c>
      <c r="G23" s="65">
        <v>0.54166666666666663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0.41666666666666663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0.16666666666666669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0.22916666666666663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0.16666666666666669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0.25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0.22916666666666663</v>
      </c>
      <c r="K24" s="33">
        <v>20</v>
      </c>
      <c r="L24" s="87" t="str">
        <f>CHOOSE(WEEKDAY(Calendrier!E24,2),"L","Ma","Me","J","V","S","D")</f>
        <v>J</v>
      </c>
      <c r="M24" s="65">
        <f t="shared" si="1"/>
        <v>0.25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0.16666666666666669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0.41666666666666663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0.25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0.4375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0.16666666666666669</v>
      </c>
      <c r="K25" s="33">
        <v>21</v>
      </c>
      <c r="L25" s="87" t="str">
        <f>CHOOSE(WEEKDAY(Calendrier!E25,2),"L","Ma","Me","J","V","S","D")</f>
        <v>V</v>
      </c>
      <c r="M25" s="65">
        <f t="shared" si="1"/>
        <v>0.4375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0.41666666666666663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0.25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0.22916666666666663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0.4375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0.25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0.22916666666666663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0.4375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0.16666666666666669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0.4375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0.16666666666666669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0.22916666666666663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0.25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0.41666666666666663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0.25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0.16666666666666669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0.4375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0.41666666666666663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0.22916666666666663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0.4375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0.41666666666666663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0.41666666666666663</v>
      </c>
      <c r="W29" s="33">
        <v>25</v>
      </c>
      <c r="X29" s="87" t="str">
        <f>CHOOSE(WEEKDAY(Calendrier!I29,2),"L","Ma","Me","J","V","S","D")</f>
        <v>J</v>
      </c>
      <c r="Y29" s="65">
        <f t="shared" si="4"/>
        <v>0.25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0.22916666666666663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0.16666666666666669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0.41666666666666663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0.22916666666666663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0.22916666666666663</v>
      </c>
      <c r="W30" s="33">
        <v>26</v>
      </c>
      <c r="X30" s="87" t="str">
        <f>CHOOSE(WEEKDAY(Calendrier!I30,2),"L","Ma","Me","J","V","S","D")</f>
        <v>V</v>
      </c>
      <c r="Y30" s="65">
        <f t="shared" si="4"/>
        <v>0.4375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0.16666666666666669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v>0.58333333333333337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0.22916666666666663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0.16666666666666669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0.16666666666666669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0.41666666666666663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0.25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0.4375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0.16666666666666669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0.41666666666666663</v>
      </c>
      <c r="Q32" s="33">
        <v>28</v>
      </c>
      <c r="R32" s="87" t="str">
        <f>CHOOSE(WEEKDAY(Calendrier!G32,2),"L","Ma","Me","J","V","S","D")</f>
        <v>J</v>
      </c>
      <c r="S32" s="65">
        <f t="shared" si="2"/>
        <v>0.25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0.25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0.22916666666666663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0.25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0.22916666666666663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0.4375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0.41666666666666663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0.16666666666666669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0.4375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0.16666666666666669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0.22916666666666663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0.25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0.4375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6.4791666666666661</v>
      </c>
      <c r="E36" s="39"/>
      <c r="F36" s="31"/>
      <c r="G36" s="37">
        <f>SUM(G5:G35)</f>
        <v>5.5</v>
      </c>
      <c r="H36" s="40"/>
      <c r="I36" s="28"/>
      <c r="J36" s="38">
        <f>SUM(J5:J35)</f>
        <v>6.2083333333333339</v>
      </c>
      <c r="K36" s="39"/>
      <c r="L36" s="31"/>
      <c r="M36" s="38">
        <f>SUM(M5:M35)</f>
        <v>4.6249999999999991</v>
      </c>
      <c r="N36" s="39"/>
      <c r="O36" s="32"/>
      <c r="P36" s="38">
        <f>SUM(P5:P35)</f>
        <v>5.5625</v>
      </c>
      <c r="Q36" s="41"/>
      <c r="R36" s="29"/>
      <c r="S36" s="38">
        <f>SUM(S5:S35)</f>
        <v>2.9999999999999996</v>
      </c>
      <c r="T36" s="39"/>
      <c r="U36" s="32"/>
      <c r="V36" s="38">
        <f>SUM(V5:V35)</f>
        <v>6.4375000000000009</v>
      </c>
      <c r="W36" s="39"/>
      <c r="X36" s="32"/>
      <c r="Y36" s="38">
        <f>SUM(Y5:Y34)</f>
        <v>3.2291666666666661</v>
      </c>
      <c r="Z36" s="39"/>
      <c r="AA36" s="32"/>
      <c r="AB36" s="38">
        <f>SUM(AB5:AB35)</f>
        <v>6.2708333333333339</v>
      </c>
      <c r="AC36" s="39"/>
      <c r="AD36" s="32"/>
      <c r="AE36" s="38">
        <f>SUM(AE7:AE34)</f>
        <v>5.520833333333333</v>
      </c>
      <c r="AF36" s="39"/>
      <c r="AG36" s="31"/>
      <c r="AH36" s="38">
        <f>SUM(AH5:AH34)</f>
        <v>1.4375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54.270833333333336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100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66.958333333333329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>
        <v>8.3333333333333339</v>
      </c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0.58333333333333337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0.3125</v>
      </c>
      <c r="E42" s="199" t="s">
        <v>13</v>
      </c>
      <c r="F42" s="200"/>
      <c r="G42" s="81">
        <v>0.70833333333333337</v>
      </c>
      <c r="H42" s="199" t="s">
        <v>14</v>
      </c>
      <c r="I42" s="200"/>
      <c r="J42" s="81">
        <v>8.3333333333333329E-2</v>
      </c>
      <c r="K42" s="199" t="s">
        <v>15</v>
      </c>
      <c r="L42" s="200"/>
      <c r="M42" s="81">
        <v>0.3125</v>
      </c>
      <c r="N42" s="199" t="s">
        <v>16</v>
      </c>
      <c r="O42" s="200"/>
      <c r="P42" s="81">
        <v>0.3125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1.75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0.72916666666666663</v>
      </c>
      <c r="E43" s="201"/>
      <c r="F43" s="202"/>
      <c r="G43" s="81">
        <v>0.9375</v>
      </c>
      <c r="H43" s="201"/>
      <c r="I43" s="202"/>
      <c r="J43" s="81">
        <v>0.20833333333333334</v>
      </c>
      <c r="K43" s="201"/>
      <c r="L43" s="202"/>
      <c r="M43" s="81">
        <v>0.5625</v>
      </c>
      <c r="N43" s="201"/>
      <c r="O43" s="202"/>
      <c r="P43" s="81">
        <v>0.75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>
        <v>0.27083333333333331</v>
      </c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56.291666666666657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>
        <v>0.3125</v>
      </c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0.41666666666666663</v>
      </c>
      <c r="E46" s="203"/>
      <c r="F46" s="204"/>
      <c r="G46" s="82">
        <f>(G43-G42)+(G45-G44)</f>
        <v>0.22916666666666663</v>
      </c>
      <c r="H46" s="203"/>
      <c r="I46" s="204"/>
      <c r="J46" s="82">
        <f>(J43-J42)+(J45-J44)</f>
        <v>0.16666666666666669</v>
      </c>
      <c r="K46" s="203"/>
      <c r="L46" s="204"/>
      <c r="M46" s="82">
        <f>(M43-M42)+(M45-M44)</f>
        <v>0.25</v>
      </c>
      <c r="N46" s="203"/>
      <c r="O46" s="204"/>
      <c r="P46" s="82">
        <f>(P43-P42)+(P45-P44)</f>
        <v>0.4375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7">
        <f>AK37</f>
        <v>54.270833333333336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1.5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0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2.0208333333333215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-2.0208333333333215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0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2.0208333333333215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484" priority="55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483" priority="54" stopIfTrue="1">
      <formula>IF(C5="S",TRUE,IF(C5="D",TRUE,FALSE))</formula>
    </cfRule>
  </conditionalFormatting>
  <conditionalFormatting sqref="AB49:AK49 AB53:AK53">
    <cfRule type="expression" dxfId="482" priority="53" stopIfTrue="1">
      <formula xml:space="preserve"> IF($G$38=100,IF($P$47&lt;$AI49,TRUE,FALSE),FALSE)</formula>
    </cfRule>
  </conditionalFormatting>
  <conditionalFormatting sqref="R34">
    <cfRule type="cellIs" dxfId="481" priority="51" stopIfTrue="1" operator="equal">
      <formula>"S"</formula>
    </cfRule>
    <cfRule type="cellIs" dxfId="480" priority="52" stopIfTrue="1" operator="equal">
      <formula>"D"</formula>
    </cfRule>
  </conditionalFormatting>
  <conditionalFormatting sqref="C5:C35 O5:O35 F5:F35 L5:L35 I5:I34 X5:X34 AD5:AD34 AG5:AG35 AJ5:AJ35 R5:R33 U5:U35 AA5:AA35">
    <cfRule type="expression" dxfId="479" priority="50" stopIfTrue="1">
      <formula>IF(C5="S",TRUE,IF(C5="D",TRUE,FALSE))</formula>
    </cfRule>
  </conditionalFormatting>
  <conditionalFormatting sqref="P47">
    <cfRule type="cellIs" dxfId="478" priority="48" stopIfTrue="1" operator="lessThan">
      <formula>1.33333333333333</formula>
    </cfRule>
    <cfRule type="cellIs" dxfId="477" priority="49" stopIfTrue="1" operator="greaterThan">
      <formula>1.83333333333333</formula>
    </cfRule>
  </conditionalFormatting>
  <conditionalFormatting sqref="E26:E27">
    <cfRule type="expression" dxfId="476" priority="47" stopIfTrue="1">
      <formula>IF(F26="S",TRUE, IF(F26="D", TRUE,FALSE))</formula>
    </cfRule>
  </conditionalFormatting>
  <conditionalFormatting sqref="E33:E34">
    <cfRule type="expression" dxfId="475" priority="46" stopIfTrue="1">
      <formula>IF(F33="S",TRUE, IF(F33="D", TRUE,FALSE))</formula>
    </cfRule>
  </conditionalFormatting>
  <conditionalFormatting sqref="H13">
    <cfRule type="expression" dxfId="474" priority="45" stopIfTrue="1">
      <formula>IF(I13="S",TRUE, IF(I13="D", TRUE,FALSE))</formula>
    </cfRule>
  </conditionalFormatting>
  <conditionalFormatting sqref="N8">
    <cfRule type="expression" dxfId="473" priority="44" stopIfTrue="1">
      <formula>IF(O8="S",TRUE, IF(O8="D", TRUE,FALSE))</formula>
    </cfRule>
  </conditionalFormatting>
  <conditionalFormatting sqref="K34:K35 K26:K28">
    <cfRule type="expression" dxfId="472" priority="43" stopIfTrue="1">
      <formula>IF(L26="S",TRUE, IF(L26="D", TRUE,FALSE))</formula>
    </cfRule>
  </conditionalFormatting>
  <conditionalFormatting sqref="T5:T8">
    <cfRule type="expression" dxfId="471" priority="42" stopIfTrue="1">
      <formula>IF(U5="S",TRUE, IF(U5="D", TRUE,FALSE))</formula>
    </cfRule>
  </conditionalFormatting>
  <conditionalFormatting sqref="Q26:Q30">
    <cfRule type="expression" dxfId="470" priority="41" stopIfTrue="1">
      <formula>IF(R26="S",TRUE, IF(R26="D", TRUE,FALSE))</formula>
    </cfRule>
  </conditionalFormatting>
  <conditionalFormatting sqref="Z20">
    <cfRule type="expression" dxfId="469" priority="40" stopIfTrue="1">
      <formula>IF(AA20="S",TRUE, IF(AA20="D", TRUE,FALSE))</formula>
    </cfRule>
  </conditionalFormatting>
  <conditionalFormatting sqref="W23">
    <cfRule type="expression" dxfId="468" priority="39" stopIfTrue="1">
      <formula>IF(X23="S",TRUE, IF(X23="D", TRUE,FALSE))</formula>
    </cfRule>
  </conditionalFormatting>
  <conditionalFormatting sqref="W29:W33">
    <cfRule type="expression" dxfId="467" priority="38" stopIfTrue="1">
      <formula>IF(X29="S",TRUE, IF(X29="D", TRUE,FALSE))</formula>
    </cfRule>
  </conditionalFormatting>
  <conditionalFormatting sqref="Z8 Z10">
    <cfRule type="expression" dxfId="466" priority="37" stopIfTrue="1">
      <formula>IF(AA8="S",TRUE, IF(AA8="D", TRUE,FALSE))</formula>
    </cfRule>
  </conditionalFormatting>
  <conditionalFormatting sqref="Z9">
    <cfRule type="expression" dxfId="465" priority="36" stopIfTrue="1">
      <formula>IF(AA9="S",TRUE, IF(AA9="D", TRUE,FALSE))</formula>
    </cfRule>
  </conditionalFormatting>
  <conditionalFormatting sqref="W10">
    <cfRule type="expression" dxfId="464" priority="35" stopIfTrue="1">
      <formula>IF(X10="S",TRUE, IF(X10="D", TRUE,FALSE))</formula>
    </cfRule>
  </conditionalFormatting>
  <conditionalFormatting sqref="AB29">
    <cfRule type="expression" dxfId="463" priority="34" stopIfTrue="1">
      <formula>IF(AA29="S",TRUE,IF(AA29="D",TRUE,FALSE))</formula>
    </cfRule>
  </conditionalFormatting>
  <conditionalFormatting sqref="Q33">
    <cfRule type="expression" dxfId="462" priority="33" stopIfTrue="1">
      <formula>IF(R33="S",TRUE, IF(R33="D", TRUE,FALSE))</formula>
    </cfRule>
  </conditionalFormatting>
  <conditionalFormatting sqref="T32">
    <cfRule type="expression" dxfId="461" priority="32" stopIfTrue="1">
      <formula>IF(U32="S",TRUE, IF(U32="D", TRUE,FALSE))</formula>
    </cfRule>
  </conditionalFormatting>
  <conditionalFormatting sqref="E23:E25">
    <cfRule type="expression" dxfId="460" priority="31" stopIfTrue="1">
      <formula>IF(F23="S",TRUE, IF(F23="D", TRUE,FALSE))</formula>
    </cfRule>
  </conditionalFormatting>
  <conditionalFormatting sqref="E28:E32">
    <cfRule type="expression" dxfId="459" priority="30" stopIfTrue="1">
      <formula>IF(F28="S",TRUE, IF(F28="D", TRUE,FALSE))</formula>
    </cfRule>
  </conditionalFormatting>
  <conditionalFormatting sqref="E35">
    <cfRule type="expression" dxfId="458" priority="29" stopIfTrue="1">
      <formula>IF(F35="S",TRUE, IF(F35="D", TRUE,FALSE))</formula>
    </cfRule>
  </conditionalFormatting>
  <conditionalFormatting sqref="G23:G25">
    <cfRule type="expression" dxfId="457" priority="28" stopIfTrue="1">
      <formula>IF(F23="S",TRUE,IF(F23="D",TRUE,FALSE))</formula>
    </cfRule>
  </conditionalFormatting>
  <conditionalFormatting sqref="G28:G32">
    <cfRule type="expression" dxfId="456" priority="27" stopIfTrue="1">
      <formula>IF(F28="S",TRUE,IF(F28="D",TRUE,FALSE))</formula>
    </cfRule>
  </conditionalFormatting>
  <conditionalFormatting sqref="G35">
    <cfRule type="expression" dxfId="455" priority="26" stopIfTrue="1">
      <formula>IF(F35="S",TRUE,IF(F35="D",TRUE,FALSE))</formula>
    </cfRule>
  </conditionalFormatting>
  <conditionalFormatting sqref="K30:K33">
    <cfRule type="expression" dxfId="454" priority="25" stopIfTrue="1">
      <formula>IF(L30="S",TRUE, IF(L30="D", TRUE,FALSE))</formula>
    </cfRule>
  </conditionalFormatting>
  <conditionalFormatting sqref="N6:N7">
    <cfRule type="expression" dxfId="453" priority="24" stopIfTrue="1">
      <formula>IF(O6="S",TRUE, IF(O6="D", TRUE,FALSE))</formula>
    </cfRule>
  </conditionalFormatting>
  <conditionalFormatting sqref="Q31:Q32">
    <cfRule type="expression" dxfId="452" priority="23" stopIfTrue="1">
      <formula>IF(R31="S",TRUE, IF(R31="D", TRUE,FALSE))</formula>
    </cfRule>
  </conditionalFormatting>
  <conditionalFormatting sqref="H5:H7">
    <cfRule type="expression" dxfId="451" priority="22" stopIfTrue="1">
      <formula>IF(I5="S",TRUE, IF(I5="D", TRUE,FALSE))</formula>
    </cfRule>
  </conditionalFormatting>
  <conditionalFormatting sqref="H15">
    <cfRule type="expression" dxfId="450" priority="21" stopIfTrue="1">
      <formula>IF(I15="S",TRUE, IF(I15="D", TRUE,FALSE))</formula>
    </cfRule>
  </conditionalFormatting>
  <conditionalFormatting sqref="T10:T12">
    <cfRule type="expression" dxfId="449" priority="20" stopIfTrue="1">
      <formula>IF(U10="S",TRUE, IF(U10="D", TRUE,FALSE))</formula>
    </cfRule>
  </conditionalFormatting>
  <conditionalFormatting sqref="W21">
    <cfRule type="expression" dxfId="448" priority="19" stopIfTrue="1">
      <formula>IF(X21="S",TRUE, IF(X21="D", TRUE,FALSE))</formula>
    </cfRule>
  </conditionalFormatting>
  <conditionalFormatting sqref="Z5:Z7">
    <cfRule type="expression" dxfId="447" priority="18" stopIfTrue="1">
      <formula>IF(AA5="S",TRUE, IF(AA5="D", TRUE,FALSE))</formula>
    </cfRule>
  </conditionalFormatting>
  <conditionalFormatting sqref="Z12:Z15">
    <cfRule type="expression" dxfId="446" priority="17" stopIfTrue="1">
      <formula>IF(AA12="S",TRUE, IF(AA12="D", TRUE,FALSE))</formula>
    </cfRule>
  </conditionalFormatting>
  <conditionalFormatting sqref="Z29">
    <cfRule type="expression" dxfId="445" priority="16" stopIfTrue="1">
      <formula>IF(AA29="S",TRUE, IF(AA29="D", TRUE,FALSE))</formula>
    </cfRule>
  </conditionalFormatting>
  <conditionalFormatting sqref="AB54:AK54">
    <cfRule type="expression" dxfId="444" priority="15" stopIfTrue="1">
      <formula>IF($P$47&gt;#REF!,TRUE,FALSE)</formula>
    </cfRule>
  </conditionalFormatting>
  <conditionalFormatting sqref="T9">
    <cfRule type="expression" dxfId="443" priority="14" stopIfTrue="1">
      <formula>IF(U9="S",TRUE, IF(U9="D", TRUE,FALSE))</formula>
    </cfRule>
  </conditionalFormatting>
  <conditionalFormatting sqref="Z11">
    <cfRule type="expression" dxfId="442" priority="13" stopIfTrue="1">
      <formula>IF(AA11="S",TRUE, IF(AA11="D", TRUE,FALSE))</formula>
    </cfRule>
  </conditionalFormatting>
  <conditionalFormatting sqref="AK32">
    <cfRule type="expression" dxfId="441" priority="12" stopIfTrue="1">
      <formula>IF(AJ32="S",TRUE,IF(AJ32="D",TRUE,FALSE))</formula>
    </cfRule>
  </conditionalFormatting>
  <conditionalFormatting sqref="AK31">
    <cfRule type="expression" dxfId="440" priority="11" stopIfTrue="1">
      <formula>IF(AJ31="S",TRUE,IF(AJ31="D",TRUE,FALSE))</formula>
    </cfRule>
  </conditionalFormatting>
  <conditionalFormatting sqref="AK30">
    <cfRule type="expression" dxfId="439" priority="10" stopIfTrue="1">
      <formula>IF(AJ30="S",TRUE,IF(AJ30="D",TRUE,FALSE))</formula>
    </cfRule>
  </conditionalFormatting>
  <conditionalFormatting sqref="AH14">
    <cfRule type="expression" dxfId="438" priority="9" stopIfTrue="1">
      <formula>IF(AG14="S",TRUE,IF(AG14="D",TRUE,FALSE))</formula>
    </cfRule>
  </conditionalFormatting>
  <conditionalFormatting sqref="AH15">
    <cfRule type="expression" dxfId="437" priority="8" stopIfTrue="1">
      <formula>IF(AG15="S",TRUE,IF(AG15="D",TRUE,FALSE))</formula>
    </cfRule>
  </conditionalFormatting>
  <conditionalFormatting sqref="AH16">
    <cfRule type="expression" dxfId="436" priority="7" stopIfTrue="1">
      <formula>IF(AG16="S",TRUE,IF(AG16="D",TRUE,FALSE))</formula>
    </cfRule>
  </conditionalFormatting>
  <conditionalFormatting sqref="G26:G27">
    <cfRule type="expression" dxfId="435" priority="6" stopIfTrue="1">
      <formula>IF(F26="S",TRUE,IF(F26="D",TRUE,FALSE))</formula>
    </cfRule>
  </conditionalFormatting>
  <conditionalFormatting sqref="G28:G30">
    <cfRule type="expression" dxfId="434" priority="5" stopIfTrue="1">
      <formula>IF(F28="S",TRUE,IF(F28="D",TRUE,FALSE))</formula>
    </cfRule>
  </conditionalFormatting>
  <conditionalFormatting sqref="AH12:AH13">
    <cfRule type="expression" dxfId="433" priority="4" stopIfTrue="1">
      <formula>IF(AG12="S",TRUE,IF(AG12="D",TRUE,FALSE))</formula>
    </cfRule>
  </conditionalFormatting>
  <conditionalFormatting sqref="AH14:AH16">
    <cfRule type="expression" dxfId="432" priority="3" stopIfTrue="1">
      <formula>IF(AG14="S",TRUE,IF(AG14="D",TRUE,FALSE))</formula>
    </cfRule>
  </conditionalFormatting>
  <conditionalFormatting sqref="AK30:AK31">
    <cfRule type="expression" dxfId="431" priority="2" stopIfTrue="1">
      <formula>IF(AJ30="S",TRUE,IF(AJ30="D",TRUE,FALSE))</formula>
    </cfRule>
  </conditionalFormatting>
  <conditionalFormatting sqref="AK32:AK34">
    <cfRule type="expression" dxfId="430" priority="1" stopIfTrue="1">
      <formula>IF(AJ32="S",TRUE,IF(AJ32="D",TRUE,FALSE))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1921" r:id="rId4" name="ComboBox1"/>
  </controls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41">
    <tabColor rgb="FFFF0000"/>
    <pageSetUpPr fitToPage="1"/>
  </sheetPr>
  <dimension ref="B1:BA74"/>
  <sheetViews>
    <sheetView showGridLines="0" zoomScaleNormal="115" workbookViewId="0">
      <selection activeCell="L9" sqref="L9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0.25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0.25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0.25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0.52083333333333326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0.52083333333333326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0.52083333333333326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0.25</v>
      </c>
      <c r="E7" s="33">
        <v>3</v>
      </c>
      <c r="F7" s="87" t="str">
        <f>CHOOSE(WEEKDAY(Calendrier!C7,2),"L","Ma","Me","J","V","S","D")</f>
        <v>Me</v>
      </c>
      <c r="G7" s="65">
        <f t="shared" si="0"/>
        <v>0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0.25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0.25</v>
      </c>
      <c r="AF7" s="33">
        <v>3</v>
      </c>
      <c r="AG7" s="87" t="str">
        <f>CHOOSE(WEEKDAY(Calendrier!L7,2),"L","Ma","Me","J","V","S","D")</f>
        <v>Me</v>
      </c>
      <c r="AH7" s="65">
        <f t="shared" si="6"/>
        <v>0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0.52083333333333326</v>
      </c>
      <c r="E8" s="33">
        <v>4</v>
      </c>
      <c r="F8" s="87" t="str">
        <f>CHOOSE(WEEKDAY(Calendrier!C8,2),"L","Ma","Me","J","V","S","D")</f>
        <v>J</v>
      </c>
      <c r="G8" s="65">
        <f t="shared" si="0"/>
        <v>0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0.52083333333333326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0.25</v>
      </c>
      <c r="T8" s="33">
        <v>4</v>
      </c>
      <c r="U8" s="87" t="str">
        <f>CHOOSE(WEEKDAY(Calendrier!H8,2),"L","Ma","Me","J","V","S","D")</f>
        <v>L</v>
      </c>
      <c r="V8" s="100">
        <f t="shared" si="3"/>
        <v>0.25</v>
      </c>
      <c r="W8" s="33">
        <v>4</v>
      </c>
      <c r="X8" s="87" t="str">
        <f>CHOOSE(WEEKDAY(Calendrier!I8,2),"L","Ma","Me","J","V","S","D")</f>
        <v>J</v>
      </c>
      <c r="Y8" s="65">
        <f t="shared" si="4"/>
        <v>0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0.52083333333333326</v>
      </c>
      <c r="AF8" s="33">
        <v>4</v>
      </c>
      <c r="AG8" s="87" t="str">
        <f>CHOOSE(WEEKDAY(Calendrier!L8,2),"L","Ma","Me","J","V","S","D")</f>
        <v>J</v>
      </c>
      <c r="AH8" s="65">
        <f t="shared" si="6"/>
        <v>0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0.25</v>
      </c>
      <c r="K9" s="33">
        <v>5</v>
      </c>
      <c r="L9" s="87" t="str">
        <f>CHOOSE(WEEKDAY(Calendrier!E9,2),"L","Ma","Me","J","V","S","D")</f>
        <v>Me</v>
      </c>
      <c r="M9" s="65">
        <f t="shared" si="1"/>
        <v>0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0.52083333333333326</v>
      </c>
      <c r="T9" s="33">
        <v>5</v>
      </c>
      <c r="U9" s="87" t="str">
        <f>CHOOSE(WEEKDAY(Calendrier!H9,2),"L","Ma","Me","J","V","S","D")</f>
        <v>Ma</v>
      </c>
      <c r="V9" s="100">
        <f t="shared" si="3"/>
        <v>0.52083333333333326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0.52083333333333326</v>
      </c>
      <c r="K10" s="33">
        <v>6</v>
      </c>
      <c r="L10" s="87" t="str">
        <f>CHOOSE(WEEKDAY(Calendrier!E10,2),"L","Ma","Me","J","V","S","D")</f>
        <v>J</v>
      </c>
      <c r="M10" s="65">
        <f t="shared" si="1"/>
        <v>0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</v>
      </c>
      <c r="T10" s="33">
        <v>6</v>
      </c>
      <c r="U10" s="87" t="str">
        <f>CHOOSE(WEEKDAY(Calendrier!H10,2),"L","Ma","Me","J","V","S","D")</f>
        <v>Me</v>
      </c>
      <c r="V10" s="65">
        <f t="shared" si="3"/>
        <v>0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0.25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0.25</v>
      </c>
      <c r="Q11" s="33">
        <v>7</v>
      </c>
      <c r="R11" s="87" t="str">
        <f>CHOOSE(WEEKDAY(Calendrier!G11,2),"L","Ma","Me","J","V","S","D")</f>
        <v>J</v>
      </c>
      <c r="S11" s="65">
        <f t="shared" si="2"/>
        <v>0</v>
      </c>
      <c r="T11" s="33">
        <v>7</v>
      </c>
      <c r="U11" s="87" t="str">
        <f>CHOOSE(WEEKDAY(Calendrier!H11,2),"L","Ma","Me","J","V","S","D")</f>
        <v>J</v>
      </c>
      <c r="V11" s="65">
        <f t="shared" si="3"/>
        <v>0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0.52083333333333326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0.25</v>
      </c>
      <c r="H12" s="33">
        <v>8</v>
      </c>
      <c r="I12" s="87" t="str">
        <f>CHOOSE(WEEKDAY(Calendrier!D12,2),"L","Ma","Me","J","V","S","D")</f>
        <v>J</v>
      </c>
      <c r="J12" s="65">
        <f t="shared" si="11"/>
        <v>0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0.52083333333333326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0.52083333333333326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0.25</v>
      </c>
      <c r="E14" s="33">
        <v>10</v>
      </c>
      <c r="F14" s="87" t="str">
        <f>CHOOSE(WEEKDAY(Calendrier!C14,2),"L","Ma","Me","J","V","S","D")</f>
        <v>Me</v>
      </c>
      <c r="G14" s="65">
        <f t="shared" si="0"/>
        <v>0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0.25</v>
      </c>
      <c r="N14" s="33">
        <v>10</v>
      </c>
      <c r="O14" s="87" t="str">
        <f>CHOOSE(WEEKDAY(Calendrier!F14,2),"L","Ma","Me","J","V","S","D")</f>
        <v>J</v>
      </c>
      <c r="P14" s="65">
        <f t="shared" si="12"/>
        <v>0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0.52083333333333326</v>
      </c>
      <c r="E15" s="33">
        <v>11</v>
      </c>
      <c r="F15" s="87" t="str">
        <f>CHOOSE(WEEKDAY(Calendrier!C15,2),"L","Ma","Me","J","V","S","D")</f>
        <v>J</v>
      </c>
      <c r="G15" s="65">
        <f t="shared" si="0"/>
        <v>0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0.52083333333333326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0.25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0.52083333333333326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0.25</v>
      </c>
      <c r="K16" s="33">
        <v>12</v>
      </c>
      <c r="L16" s="87" t="str">
        <f>CHOOSE(WEEKDAY(Calendrier!E16,2),"L","Ma","Me","J","V","S","D")</f>
        <v>Me</v>
      </c>
      <c r="M16" s="65">
        <f t="shared" si="1"/>
        <v>0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0.52083333333333326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0.52083333333333326</v>
      </c>
      <c r="K17" s="33">
        <v>13</v>
      </c>
      <c r="L17" s="87" t="str">
        <f>CHOOSE(WEEKDAY(Calendrier!E17,2),"L","Ma","Me","J","V","S","D")</f>
        <v>J</v>
      </c>
      <c r="M17" s="65">
        <f t="shared" si="1"/>
        <v>0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0.25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0.25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0.52083333333333326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0.25</v>
      </c>
      <c r="H19" s="33">
        <v>15</v>
      </c>
      <c r="I19" s="87" t="str">
        <f>CHOOSE(WEEKDAY(Calendrier!D19,2),"L","Ma","Me","J","V","S","D")</f>
        <v>J</v>
      </c>
      <c r="J19" s="65">
        <f t="shared" si="11"/>
        <v>0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0.52083333333333326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0.52083333333333326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0.25</v>
      </c>
      <c r="E21" s="33">
        <v>17</v>
      </c>
      <c r="F21" s="87" t="str">
        <f>CHOOSE(WEEKDAY(Calendrier!C21,2),"L","Ma","Me","J","V","S","D")</f>
        <v>Me</v>
      </c>
      <c r="G21" s="65">
        <f t="shared" si="0"/>
        <v>0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0.25</v>
      </c>
      <c r="N21" s="33">
        <v>17</v>
      </c>
      <c r="O21" s="87" t="str">
        <f>CHOOSE(WEEKDAY(Calendrier!F21,2),"L","Ma","Me","J","V","S","D")</f>
        <v>J</v>
      </c>
      <c r="P21" s="65">
        <f t="shared" si="12"/>
        <v>0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0.25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0.52083333333333326</v>
      </c>
      <c r="E22" s="33">
        <v>18</v>
      </c>
      <c r="F22" s="87" t="str">
        <f>CHOOSE(WEEKDAY(Calendrier!C22,2),"L","Ma","Me","J","V","S","D")</f>
        <v>J</v>
      </c>
      <c r="G22" s="65">
        <f t="shared" si="0"/>
        <v>0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0.52083333333333326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0.25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0.52083333333333326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</v>
      </c>
      <c r="E23" s="33">
        <v>19</v>
      </c>
      <c r="F23" s="87" t="str">
        <f>CHOOSE(WEEKDAY(Calendrier!C23,2),"L","Ma","Me","J","V","S","D")</f>
        <v>V</v>
      </c>
      <c r="G23" s="65">
        <f t="shared" si="0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0.25</v>
      </c>
      <c r="K23" s="33">
        <v>19</v>
      </c>
      <c r="L23" s="87" t="str">
        <f>CHOOSE(WEEKDAY(Calendrier!E23,2),"L","Ma","Me","J","V","S","D")</f>
        <v>Me</v>
      </c>
      <c r="M23" s="65">
        <f t="shared" si="1"/>
        <v>0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0.52083333333333326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0.52083333333333326</v>
      </c>
      <c r="K24" s="33">
        <v>20</v>
      </c>
      <c r="L24" s="87" t="str">
        <f>CHOOSE(WEEKDAY(Calendrier!E24,2),"L","Ma","Me","J","V","S","D")</f>
        <v>J</v>
      </c>
      <c r="M24" s="65">
        <f t="shared" si="1"/>
        <v>0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0.25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0.25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0.52083333333333326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0.52083333333333326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0.52083333333333326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0.25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0.25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0.52083333333333326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0.25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0.25</v>
      </c>
      <c r="W29" s="33">
        <v>25</v>
      </c>
      <c r="X29" s="87" t="str">
        <f>CHOOSE(WEEKDAY(Calendrier!I29,2),"L","Ma","Me","J","V","S","D")</f>
        <v>J</v>
      </c>
      <c r="Y29" s="65">
        <f t="shared" si="4"/>
        <v>0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0.52083333333333326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0.25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0.52083333333333326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0.52083333333333326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0.52083333333333326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</v>
      </c>
      <c r="T31" s="33">
        <v>27</v>
      </c>
      <c r="U31" s="87" t="str">
        <f>CHOOSE(WEEKDAY(Calendrier!H31,2),"L","Ma","Me","J","V","S","D")</f>
        <v>Me</v>
      </c>
      <c r="V31" s="65">
        <f t="shared" si="3"/>
        <v>0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0.25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0.25</v>
      </c>
      <c r="Q32" s="33">
        <v>28</v>
      </c>
      <c r="R32" s="87" t="str">
        <f>CHOOSE(WEEKDAY(Calendrier!G32,2),"L","Ma","Me","J","V","S","D")</f>
        <v>J</v>
      </c>
      <c r="S32" s="65">
        <f t="shared" si="2"/>
        <v>0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0.52083333333333326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0.52083333333333326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0.25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0.52083333333333326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3.083333333333333</v>
      </c>
      <c r="E36" s="39"/>
      <c r="F36" s="31"/>
      <c r="G36" s="37">
        <f>SUM(G5:G35)</f>
        <v>2.5625</v>
      </c>
      <c r="H36" s="40"/>
      <c r="I36" s="28"/>
      <c r="J36" s="38">
        <f>SUM(J5:J35)</f>
        <v>3.083333333333333</v>
      </c>
      <c r="K36" s="39"/>
      <c r="L36" s="31"/>
      <c r="M36" s="38">
        <f>SUM(M5:M35)</f>
        <v>2.3125</v>
      </c>
      <c r="N36" s="39"/>
      <c r="O36" s="32"/>
      <c r="P36" s="38">
        <f>SUM(P5:P35)</f>
        <v>3.083333333333333</v>
      </c>
      <c r="Q36" s="41"/>
      <c r="R36" s="29"/>
      <c r="S36" s="38">
        <f>SUM(S5:S35)</f>
        <v>1.5416666666666665</v>
      </c>
      <c r="T36" s="39"/>
      <c r="U36" s="32"/>
      <c r="V36" s="38">
        <f>SUM(V5:V35)</f>
        <v>3.083333333333333</v>
      </c>
      <c r="W36" s="39"/>
      <c r="X36" s="32"/>
      <c r="Y36" s="38">
        <f>SUM(Y5:Y34)</f>
        <v>2.0625</v>
      </c>
      <c r="Z36" s="39"/>
      <c r="AA36" s="32"/>
      <c r="AB36" s="38">
        <f>SUM(AB5:AB35)</f>
        <v>3.083333333333333</v>
      </c>
      <c r="AC36" s="39"/>
      <c r="AD36" s="32"/>
      <c r="AE36" s="38">
        <f>SUM(AE7:AE34)</f>
        <v>3.208333333333333</v>
      </c>
      <c r="AF36" s="39"/>
      <c r="AG36" s="31"/>
      <c r="AH36" s="38">
        <f>SUM(AH5:AH34)</f>
        <v>1.1458333333333333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28.249999999999996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0.6875</v>
      </c>
      <c r="E42" s="199" t="s">
        <v>13</v>
      </c>
      <c r="F42" s="200"/>
      <c r="G42" s="81">
        <v>8.3333333333333329E-2</v>
      </c>
      <c r="H42" s="199" t="s">
        <v>14</v>
      </c>
      <c r="I42" s="200"/>
      <c r="J42" s="81"/>
      <c r="K42" s="199" t="s">
        <v>15</v>
      </c>
      <c r="L42" s="200"/>
      <c r="M42" s="81"/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0.9375</v>
      </c>
      <c r="E43" s="201"/>
      <c r="F43" s="202"/>
      <c r="G43" s="81">
        <v>0.20833333333333334</v>
      </c>
      <c r="H43" s="201"/>
      <c r="I43" s="202"/>
      <c r="J43" s="81"/>
      <c r="K43" s="201"/>
      <c r="L43" s="202"/>
      <c r="M43" s="81"/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0.27083333333333331</v>
      </c>
      <c r="H44" s="201"/>
      <c r="I44" s="202"/>
      <c r="J44" s="81"/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0.66666666666666663</v>
      </c>
      <c r="H45" s="201"/>
      <c r="I45" s="202"/>
      <c r="J45" s="81"/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0.25</v>
      </c>
      <c r="E46" s="203"/>
      <c r="F46" s="204"/>
      <c r="G46" s="82">
        <f>(G43-G42)+(G45-G44)</f>
        <v>0.52083333333333326</v>
      </c>
      <c r="H46" s="203"/>
      <c r="I46" s="204"/>
      <c r="J46" s="82">
        <f>(J43-J42)+(J45-J44)</f>
        <v>0</v>
      </c>
      <c r="K46" s="203"/>
      <c r="L46" s="204"/>
      <c r="M46" s="82">
        <f>(M43-M42)+(M45-M44)</f>
        <v>0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28.249999999999996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0.77083333333333326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0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4.041666666666675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-4.041666666666675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1</v>
      </c>
      <c r="AS57" s="109">
        <f>IF(M43="",1,IF(M42="",1,IF((M43-M42)=TIME(0,0,0),1,0)))</f>
        <v>1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3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4.041666666666675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429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428" priority="42" stopIfTrue="1">
      <formula>IF(C5="S",TRUE,IF(C5="D",TRUE,FALSE))</formula>
    </cfRule>
  </conditionalFormatting>
  <conditionalFormatting sqref="AB49:AK49 AB53:AK53">
    <cfRule type="expression" dxfId="427" priority="41" stopIfTrue="1">
      <formula xml:space="preserve"> IF($G$38=100,IF($P$47&lt;$AI49,TRUE,FALSE),FALSE)</formula>
    </cfRule>
  </conditionalFormatting>
  <conditionalFormatting sqref="R34">
    <cfRule type="cellIs" dxfId="426" priority="39" stopIfTrue="1" operator="equal">
      <formula>"S"</formula>
    </cfRule>
    <cfRule type="cellIs" dxfId="425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424" priority="38" stopIfTrue="1">
      <formula>IF(C5="S",TRUE,IF(C5="D",TRUE,FALSE))</formula>
    </cfRule>
  </conditionalFormatting>
  <conditionalFormatting sqref="P47">
    <cfRule type="cellIs" dxfId="423" priority="36" stopIfTrue="1" operator="lessThan">
      <formula>1.33333333333333</formula>
    </cfRule>
    <cfRule type="cellIs" dxfId="422" priority="37" stopIfTrue="1" operator="greaterThan">
      <formula>1.83333333333333</formula>
    </cfRule>
  </conditionalFormatting>
  <conditionalFormatting sqref="E26:E27">
    <cfRule type="expression" dxfId="421" priority="35" stopIfTrue="1">
      <formula>IF(F26="S",TRUE, IF(F26="D", TRUE,FALSE))</formula>
    </cfRule>
  </conditionalFormatting>
  <conditionalFormatting sqref="E33:E34">
    <cfRule type="expression" dxfId="420" priority="34" stopIfTrue="1">
      <formula>IF(F33="S",TRUE, IF(F33="D", TRUE,FALSE))</formula>
    </cfRule>
  </conditionalFormatting>
  <conditionalFormatting sqref="H13">
    <cfRule type="expression" dxfId="419" priority="33" stopIfTrue="1">
      <formula>IF(I13="S",TRUE, IF(I13="D", TRUE,FALSE))</formula>
    </cfRule>
  </conditionalFormatting>
  <conditionalFormatting sqref="N8">
    <cfRule type="expression" dxfId="418" priority="32" stopIfTrue="1">
      <formula>IF(O8="S",TRUE, IF(O8="D", TRUE,FALSE))</formula>
    </cfRule>
  </conditionalFormatting>
  <conditionalFormatting sqref="K34:K35 K26:K28">
    <cfRule type="expression" dxfId="417" priority="31" stopIfTrue="1">
      <formula>IF(L26="S",TRUE, IF(L26="D", TRUE,FALSE))</formula>
    </cfRule>
  </conditionalFormatting>
  <conditionalFormatting sqref="T5:T8">
    <cfRule type="expression" dxfId="416" priority="30" stopIfTrue="1">
      <formula>IF(U5="S",TRUE, IF(U5="D", TRUE,FALSE))</formula>
    </cfRule>
  </conditionalFormatting>
  <conditionalFormatting sqref="Q26:Q30">
    <cfRule type="expression" dxfId="415" priority="29" stopIfTrue="1">
      <formula>IF(R26="S",TRUE, IF(R26="D", TRUE,FALSE))</formula>
    </cfRule>
  </conditionalFormatting>
  <conditionalFormatting sqref="Z20">
    <cfRule type="expression" dxfId="414" priority="28" stopIfTrue="1">
      <formula>IF(AA20="S",TRUE, IF(AA20="D", TRUE,FALSE))</formula>
    </cfRule>
  </conditionalFormatting>
  <conditionalFormatting sqref="W23">
    <cfRule type="expression" dxfId="413" priority="27" stopIfTrue="1">
      <formula>IF(X23="S",TRUE, IF(X23="D", TRUE,FALSE))</formula>
    </cfRule>
  </conditionalFormatting>
  <conditionalFormatting sqref="W29:W33">
    <cfRule type="expression" dxfId="412" priority="26" stopIfTrue="1">
      <formula>IF(X29="S",TRUE, IF(X29="D", TRUE,FALSE))</formula>
    </cfRule>
  </conditionalFormatting>
  <conditionalFormatting sqref="Z8 Z10">
    <cfRule type="expression" dxfId="411" priority="25" stopIfTrue="1">
      <formula>IF(AA8="S",TRUE, IF(AA8="D", TRUE,FALSE))</formula>
    </cfRule>
  </conditionalFormatting>
  <conditionalFormatting sqref="Z9">
    <cfRule type="expression" dxfId="410" priority="24" stopIfTrue="1">
      <formula>IF(AA9="S",TRUE, IF(AA9="D", TRUE,FALSE))</formula>
    </cfRule>
  </conditionalFormatting>
  <conditionalFormatting sqref="W10">
    <cfRule type="expression" dxfId="409" priority="23" stopIfTrue="1">
      <formula>IF(X10="S",TRUE, IF(X10="D", TRUE,FALSE))</formula>
    </cfRule>
  </conditionalFormatting>
  <conditionalFormatting sqref="AB29">
    <cfRule type="expression" dxfId="408" priority="22" stopIfTrue="1">
      <formula>IF(AA29="S",TRUE,IF(AA29="D",TRUE,FALSE))</formula>
    </cfRule>
  </conditionalFormatting>
  <conditionalFormatting sqref="Q33">
    <cfRule type="expression" dxfId="407" priority="21" stopIfTrue="1">
      <formula>IF(R33="S",TRUE, IF(R33="D", TRUE,FALSE))</formula>
    </cfRule>
  </conditionalFormatting>
  <conditionalFormatting sqref="T32">
    <cfRule type="expression" dxfId="406" priority="20" stopIfTrue="1">
      <formula>IF(U32="S",TRUE, IF(U32="D", TRUE,FALSE))</formula>
    </cfRule>
  </conditionalFormatting>
  <conditionalFormatting sqref="E23:E25">
    <cfRule type="expression" dxfId="405" priority="19" stopIfTrue="1">
      <formula>IF(F23="S",TRUE, IF(F23="D", TRUE,FALSE))</formula>
    </cfRule>
  </conditionalFormatting>
  <conditionalFormatting sqref="E28:E32">
    <cfRule type="expression" dxfId="404" priority="18" stopIfTrue="1">
      <formula>IF(F28="S",TRUE, IF(F28="D", TRUE,FALSE))</formula>
    </cfRule>
  </conditionalFormatting>
  <conditionalFormatting sqref="E35">
    <cfRule type="expression" dxfId="403" priority="17" stopIfTrue="1">
      <formula>IF(F35="S",TRUE, IF(F35="D", TRUE,FALSE))</formula>
    </cfRule>
  </conditionalFormatting>
  <conditionalFormatting sqref="G23:G25">
    <cfRule type="expression" dxfId="402" priority="16" stopIfTrue="1">
      <formula>IF(F23="S",TRUE,IF(F23="D",TRUE,FALSE))</formula>
    </cfRule>
  </conditionalFormatting>
  <conditionalFormatting sqref="G28:G32">
    <cfRule type="expression" dxfId="401" priority="15" stopIfTrue="1">
      <formula>IF(F28="S",TRUE,IF(F28="D",TRUE,FALSE))</formula>
    </cfRule>
  </conditionalFormatting>
  <conditionalFormatting sqref="G35">
    <cfRule type="expression" dxfId="400" priority="14" stopIfTrue="1">
      <formula>IF(F35="S",TRUE,IF(F35="D",TRUE,FALSE))</formula>
    </cfRule>
  </conditionalFormatting>
  <conditionalFormatting sqref="K30:K33">
    <cfRule type="expression" dxfId="399" priority="13" stopIfTrue="1">
      <formula>IF(L30="S",TRUE, IF(L30="D", TRUE,FALSE))</formula>
    </cfRule>
  </conditionalFormatting>
  <conditionalFormatting sqref="N6:N7">
    <cfRule type="expression" dxfId="398" priority="12" stopIfTrue="1">
      <formula>IF(O6="S",TRUE, IF(O6="D", TRUE,FALSE))</formula>
    </cfRule>
  </conditionalFormatting>
  <conditionalFormatting sqref="Q31:Q32">
    <cfRule type="expression" dxfId="397" priority="11" stopIfTrue="1">
      <formula>IF(R31="S",TRUE, IF(R31="D", TRUE,FALSE))</formula>
    </cfRule>
  </conditionalFormatting>
  <conditionalFormatting sqref="H5:H7">
    <cfRule type="expression" dxfId="396" priority="10" stopIfTrue="1">
      <formula>IF(I5="S",TRUE, IF(I5="D", TRUE,FALSE))</formula>
    </cfRule>
  </conditionalFormatting>
  <conditionalFormatting sqref="H15">
    <cfRule type="expression" dxfId="395" priority="9" stopIfTrue="1">
      <formula>IF(I15="S",TRUE, IF(I15="D", TRUE,FALSE))</formula>
    </cfRule>
  </conditionalFormatting>
  <conditionalFormatting sqref="T10:T12">
    <cfRule type="expression" dxfId="394" priority="8" stopIfTrue="1">
      <formula>IF(U10="S",TRUE, IF(U10="D", TRUE,FALSE))</formula>
    </cfRule>
  </conditionalFormatting>
  <conditionalFormatting sqref="W21">
    <cfRule type="expression" dxfId="393" priority="7" stopIfTrue="1">
      <formula>IF(X21="S",TRUE, IF(X21="D", TRUE,FALSE))</formula>
    </cfRule>
  </conditionalFormatting>
  <conditionalFormatting sqref="Z5:Z7">
    <cfRule type="expression" dxfId="392" priority="6" stopIfTrue="1">
      <formula>IF(AA5="S",TRUE, IF(AA5="D", TRUE,FALSE))</formula>
    </cfRule>
  </conditionalFormatting>
  <conditionalFormatting sqref="Z12:Z15">
    <cfRule type="expression" dxfId="391" priority="5" stopIfTrue="1">
      <formula>IF(AA12="S",TRUE, IF(AA12="D", TRUE,FALSE))</formula>
    </cfRule>
  </conditionalFormatting>
  <conditionalFormatting sqref="Z29">
    <cfRule type="expression" dxfId="390" priority="4" stopIfTrue="1">
      <formula>IF(AA29="S",TRUE, IF(AA29="D", TRUE,FALSE))</formula>
    </cfRule>
  </conditionalFormatting>
  <conditionalFormatting sqref="AB54:AK54">
    <cfRule type="expression" dxfId="389" priority="3" stopIfTrue="1">
      <formula>IF($P$47&gt;#REF!,TRUE,FALSE)</formula>
    </cfRule>
  </conditionalFormatting>
  <conditionalFormatting sqref="T9">
    <cfRule type="expression" dxfId="388" priority="2" stopIfTrue="1">
      <formula>IF(U9="S",TRUE, IF(U9="D", TRUE,FALSE))</formula>
    </cfRule>
  </conditionalFormatting>
  <conditionalFormatting sqref="Z11">
    <cfRule type="expression" dxfId="387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8305" r:id="rId4" name="ComboBox1"/>
  </controls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40">
    <tabColor rgb="FFFF0000"/>
    <pageSetUpPr fitToPage="1"/>
  </sheetPr>
  <dimension ref="B1:BA74"/>
  <sheetViews>
    <sheetView showGridLines="0" zoomScaleNormal="115" workbookViewId="0">
      <selection activeCell="K37" sqref="K37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0.45833333333333337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0.45833333333333337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0.45833333333333337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0.16666666666666669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0.45833333333333337</v>
      </c>
      <c r="E7" s="33">
        <v>3</v>
      </c>
      <c r="F7" s="87" t="str">
        <f>CHOOSE(WEEKDAY(Calendrier!C7,2),"L","Ma","Me","J","V","S","D")</f>
        <v>Me</v>
      </c>
      <c r="G7" s="65">
        <f t="shared" si="0"/>
        <v>0.25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0.45833333333333337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0.25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0.45833333333333337</v>
      </c>
      <c r="AF7" s="33">
        <v>3</v>
      </c>
      <c r="AG7" s="87" t="str">
        <f>CHOOSE(WEEKDAY(Calendrier!L7,2),"L","Ma","Me","J","V","S","D")</f>
        <v>Me</v>
      </c>
      <c r="AH7" s="65">
        <f t="shared" si="6"/>
        <v>0.25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</v>
      </c>
      <c r="E8" s="33">
        <v>4</v>
      </c>
      <c r="F8" s="87" t="str">
        <f>CHOOSE(WEEKDAY(Calendrier!C8,2),"L","Ma","Me","J","V","S","D")</f>
        <v>J</v>
      </c>
      <c r="G8" s="65">
        <f t="shared" si="0"/>
        <v>0.16666666666666669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v>0.1875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0.45833333333333337</v>
      </c>
      <c r="T8" s="33">
        <v>4</v>
      </c>
      <c r="U8" s="87" t="str">
        <f>CHOOSE(WEEKDAY(Calendrier!H8,2),"L","Ma","Me","J","V","S","D")</f>
        <v>L</v>
      </c>
      <c r="V8" s="100">
        <f t="shared" si="3"/>
        <v>0.45833333333333337</v>
      </c>
      <c r="W8" s="33">
        <v>4</v>
      </c>
      <c r="X8" s="87" t="str">
        <f>CHOOSE(WEEKDAY(Calendrier!I8,2),"L","Ma","Me","J","V","S","D")</f>
        <v>J</v>
      </c>
      <c r="Y8" s="65">
        <f t="shared" si="4"/>
        <v>0.16666666666666669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</v>
      </c>
      <c r="AF8" s="33">
        <v>4</v>
      </c>
      <c r="AG8" s="87" t="str">
        <f>CHOOSE(WEEKDAY(Calendrier!L8,2),"L","Ma","Me","J","V","S","D")</f>
        <v>J</v>
      </c>
      <c r="AH8" s="65">
        <f t="shared" si="6"/>
        <v>0.16666666666666669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0.25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0.45833333333333337</v>
      </c>
      <c r="K9" s="33">
        <v>5</v>
      </c>
      <c r="L9" s="87" t="str">
        <f>CHOOSE(WEEKDAY(Calendrier!E9,2),"L","Ma","Me","J","V","S","D")</f>
        <v>Me</v>
      </c>
      <c r="M9" s="65">
        <f t="shared" si="1"/>
        <v>0.25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</v>
      </c>
      <c r="T9" s="33">
        <v>5</v>
      </c>
      <c r="U9" s="87" t="str">
        <f>CHOOSE(WEEKDAY(Calendrier!H9,2),"L","Ma","Me","J","V","S","D")</f>
        <v>Ma</v>
      </c>
      <c r="V9" s="100">
        <f t="shared" si="3"/>
        <v>0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0.25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0.16666666666666669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</v>
      </c>
      <c r="K10" s="33">
        <v>6</v>
      </c>
      <c r="L10" s="87" t="str">
        <f>CHOOSE(WEEKDAY(Calendrier!E10,2),"L","Ma","Me","J","V","S","D")</f>
        <v>J</v>
      </c>
      <c r="M10" s="65">
        <f t="shared" si="1"/>
        <v>0.16666666666666669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0.25</v>
      </c>
      <c r="T10" s="33">
        <v>6</v>
      </c>
      <c r="U10" s="87" t="str">
        <f>CHOOSE(WEEKDAY(Calendrier!H10,2),"L","Ma","Me","J","V","S","D")</f>
        <v>Me</v>
      </c>
      <c r="V10" s="65">
        <f t="shared" si="3"/>
        <v>0.25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0.45833333333333337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0.16666666666666669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v>0.16666666666666666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0.45833333333333337</v>
      </c>
      <c r="Q11" s="33">
        <v>7</v>
      </c>
      <c r="R11" s="87" t="str">
        <f>CHOOSE(WEEKDAY(Calendrier!G11,2),"L","Ma","Me","J","V","S","D")</f>
        <v>J</v>
      </c>
      <c r="S11" s="65">
        <f t="shared" si="2"/>
        <v>0.16666666666666669</v>
      </c>
      <c r="T11" s="33">
        <v>7</v>
      </c>
      <c r="U11" s="87" t="str">
        <f>CHOOSE(WEEKDAY(Calendrier!H11,2),"L","Ma","Me","J","V","S","D")</f>
        <v>J</v>
      </c>
      <c r="V11" s="65">
        <f t="shared" si="3"/>
        <v>0.16666666666666669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0.45833333333333337</v>
      </c>
      <c r="H12" s="33">
        <v>8</v>
      </c>
      <c r="I12" s="87" t="str">
        <f>CHOOSE(WEEKDAY(Calendrier!D12,2),"L","Ma","Me","J","V","S","D")</f>
        <v>J</v>
      </c>
      <c r="J12" s="65">
        <f t="shared" si="11"/>
        <v>0.16666666666666669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0.25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0.16666666666666669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v>0.46875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0.25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0.45833333333333337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0.16666666666666669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</v>
      </c>
      <c r="E15" s="33">
        <v>11</v>
      </c>
      <c r="F15" s="87" t="str">
        <f>CHOOSE(WEEKDAY(Calendrier!C15,2),"L","Ma","Me","J","V","S","D")</f>
        <v>J</v>
      </c>
      <c r="G15" s="65">
        <v>0.54166666666666663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0.45833333333333337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0.25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0.45833333333333337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0.25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0.25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0.16666666666666669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</v>
      </c>
      <c r="K17" s="33">
        <v>13</v>
      </c>
      <c r="L17" s="87" t="str">
        <f>CHOOSE(WEEKDAY(Calendrier!E17,2),"L","Ma","Me","J","V","S","D")</f>
        <v>J</v>
      </c>
      <c r="M17" s="65">
        <f t="shared" si="1"/>
        <v>0.16666666666666669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0.25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0.45833333333333337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0.16666666666666669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0.25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0.45833333333333337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0.16666666666666669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0.45833333333333337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0.16666666666666669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0.25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v>0.27083333333333331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0.25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0.16666666666666669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0.45833333333333337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0.25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0.45833333333333337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0.16666666666666669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0.45833333333333337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</v>
      </c>
      <c r="E22" s="33">
        <v>18</v>
      </c>
      <c r="F22" s="87" t="str">
        <f>CHOOSE(WEEKDAY(Calendrier!C22,2),"L","Ma","Me","J","V","S","D")</f>
        <v>J</v>
      </c>
      <c r="G22" s="65">
        <f t="shared" si="0"/>
        <v>0.16666666666666669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0.45833333333333337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0.25</v>
      </c>
      <c r="E23" s="33">
        <v>19</v>
      </c>
      <c r="F23" s="87" t="str">
        <f>CHOOSE(WEEKDAY(Calendrier!C23,2),"L","Ma","Me","J","V","S","D")</f>
        <v>V</v>
      </c>
      <c r="G23" s="65">
        <f t="shared" si="0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0.45833333333333337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0.25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0.25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0.16666666666666669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</v>
      </c>
      <c r="K24" s="33">
        <v>20</v>
      </c>
      <c r="L24" s="87" t="str">
        <f>CHOOSE(WEEKDAY(Calendrier!E24,2),"L","Ma","Me","J","V","S","D")</f>
        <v>J</v>
      </c>
      <c r="M24" s="65">
        <f t="shared" si="1"/>
        <v>0.16666666666666669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0.25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0.45833333333333337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0.16666666666666669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0.25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0.45833333333333337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0.16666666666666669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0.16666666666666669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0.25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0.25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0.16666666666666669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0.45833333333333337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0.16666666666666669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0.25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0.45833333333333337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0.45833333333333337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0.45833333333333337</v>
      </c>
      <c r="W29" s="33">
        <v>25</v>
      </c>
      <c r="X29" s="87" t="str">
        <f>CHOOSE(WEEKDAY(Calendrier!I29,2),"L","Ma","Me","J","V","S","D")</f>
        <v>J</v>
      </c>
      <c r="Y29" s="65">
        <f t="shared" si="4"/>
        <v>0.16666666666666669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0.25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0.45833333333333337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0.25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0.16666666666666669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0.25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0.25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0.45833333333333337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0.16666666666666669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0.25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0.45833333333333337</v>
      </c>
      <c r="Q32" s="33">
        <v>28</v>
      </c>
      <c r="R32" s="87" t="str">
        <f>CHOOSE(WEEKDAY(Calendrier!G32,2),"L","Ma","Me","J","V","S","D")</f>
        <v>J</v>
      </c>
      <c r="S32" s="65">
        <f t="shared" si="2"/>
        <v>0.16666666666666669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0.16666666666666669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0.16666666666666669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0.45833333333333337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0.25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0.25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0.16666666666666669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3.5104166666666665</v>
      </c>
      <c r="E36" s="39"/>
      <c r="F36" s="31"/>
      <c r="G36" s="37">
        <f>SUM(G5:G35)</f>
        <v>3.5208333333333335</v>
      </c>
      <c r="H36" s="40"/>
      <c r="I36" s="28"/>
      <c r="J36" s="38">
        <f>SUM(J5:J35)</f>
        <v>3.4166666666666665</v>
      </c>
      <c r="K36" s="39"/>
      <c r="L36" s="31"/>
      <c r="M36" s="38">
        <f>SUM(M5:M35)</f>
        <v>2.8125</v>
      </c>
      <c r="N36" s="39"/>
      <c r="O36" s="32"/>
      <c r="P36" s="38">
        <f>SUM(P5:P35)</f>
        <v>3.5</v>
      </c>
      <c r="Q36" s="41"/>
      <c r="R36" s="29"/>
      <c r="S36" s="38">
        <f>SUM(S5:S35)</f>
        <v>1.7500000000000002</v>
      </c>
      <c r="T36" s="39"/>
      <c r="U36" s="32"/>
      <c r="V36" s="38">
        <f>SUM(V5:V35)</f>
        <v>3.5</v>
      </c>
      <c r="W36" s="39"/>
      <c r="X36" s="32"/>
      <c r="Y36" s="38">
        <f>SUM(Y5:Y34)</f>
        <v>1.75</v>
      </c>
      <c r="Z36" s="39"/>
      <c r="AA36" s="32"/>
      <c r="AB36" s="38">
        <f>SUM(AB5:AB35)</f>
        <v>3.25</v>
      </c>
      <c r="AC36" s="39"/>
      <c r="AD36" s="32"/>
      <c r="AE36" s="38">
        <f>SUM(AE7:AE34)</f>
        <v>3.4166666666666665</v>
      </c>
      <c r="AF36" s="39"/>
      <c r="AG36" s="31"/>
      <c r="AH36" s="38">
        <f>SUM(AH5:AH34)</f>
        <v>1.25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31.677083333333332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0.3125</v>
      </c>
      <c r="E42" s="199" t="s">
        <v>13</v>
      </c>
      <c r="F42" s="200"/>
      <c r="G42" s="81"/>
      <c r="H42" s="199" t="s">
        <v>14</v>
      </c>
      <c r="I42" s="200"/>
      <c r="J42" s="81">
        <v>0.6875</v>
      </c>
      <c r="K42" s="199" t="s">
        <v>15</v>
      </c>
      <c r="L42" s="200"/>
      <c r="M42" s="81">
        <v>8.3333333333333329E-2</v>
      </c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0.77083333333333337</v>
      </c>
      <c r="E43" s="201"/>
      <c r="F43" s="202"/>
      <c r="G43" s="81"/>
      <c r="H43" s="201"/>
      <c r="I43" s="202"/>
      <c r="J43" s="81">
        <v>0.9375</v>
      </c>
      <c r="K43" s="201"/>
      <c r="L43" s="202"/>
      <c r="M43" s="81">
        <v>0.20833333333333334</v>
      </c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>
        <v>0.27083333333333331</v>
      </c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>
        <v>0.3125</v>
      </c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0.45833333333333337</v>
      </c>
      <c r="E46" s="203"/>
      <c r="F46" s="204"/>
      <c r="G46" s="82">
        <f>(G43-G42)+(G45-G44)</f>
        <v>0</v>
      </c>
      <c r="H46" s="203"/>
      <c r="I46" s="204"/>
      <c r="J46" s="82">
        <f>(J43-J42)+(J45-J44)</f>
        <v>0.25</v>
      </c>
      <c r="K46" s="203"/>
      <c r="L46" s="204"/>
      <c r="M46" s="82">
        <f>(M43-M42)+(M45-M44)</f>
        <v>0.16666666666666669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31.677083333333332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0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0.61458333333333925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-0.61458333333333925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1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0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0.61458333333333925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386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385" priority="42" stopIfTrue="1">
      <formula>IF(C5="S",TRUE,IF(C5="D",TRUE,FALSE))</formula>
    </cfRule>
  </conditionalFormatting>
  <conditionalFormatting sqref="AB49:AK49 AB53:AK53">
    <cfRule type="expression" dxfId="384" priority="41" stopIfTrue="1">
      <formula xml:space="preserve"> IF($G$38=100,IF($P$47&lt;$AI49,TRUE,FALSE),FALSE)</formula>
    </cfRule>
  </conditionalFormatting>
  <conditionalFormatting sqref="R34">
    <cfRule type="cellIs" dxfId="383" priority="39" stopIfTrue="1" operator="equal">
      <formula>"S"</formula>
    </cfRule>
    <cfRule type="cellIs" dxfId="382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381" priority="38" stopIfTrue="1">
      <formula>IF(C5="S",TRUE,IF(C5="D",TRUE,FALSE))</formula>
    </cfRule>
  </conditionalFormatting>
  <conditionalFormatting sqref="P47">
    <cfRule type="cellIs" dxfId="380" priority="36" stopIfTrue="1" operator="lessThan">
      <formula>1.33333333333333</formula>
    </cfRule>
    <cfRule type="cellIs" dxfId="379" priority="37" stopIfTrue="1" operator="greaterThan">
      <formula>1.83333333333333</formula>
    </cfRule>
  </conditionalFormatting>
  <conditionalFormatting sqref="E26:E27">
    <cfRule type="expression" dxfId="378" priority="35" stopIfTrue="1">
      <formula>IF(F26="S",TRUE, IF(F26="D", TRUE,FALSE))</formula>
    </cfRule>
  </conditionalFormatting>
  <conditionalFormatting sqref="E33:E34">
    <cfRule type="expression" dxfId="377" priority="34" stopIfTrue="1">
      <formula>IF(F33="S",TRUE, IF(F33="D", TRUE,FALSE))</formula>
    </cfRule>
  </conditionalFormatting>
  <conditionalFormatting sqref="H13">
    <cfRule type="expression" dxfId="376" priority="33" stopIfTrue="1">
      <formula>IF(I13="S",TRUE, IF(I13="D", TRUE,FALSE))</formula>
    </cfRule>
  </conditionalFormatting>
  <conditionalFormatting sqref="N8">
    <cfRule type="expression" dxfId="375" priority="32" stopIfTrue="1">
      <formula>IF(O8="S",TRUE, IF(O8="D", TRUE,FALSE))</formula>
    </cfRule>
  </conditionalFormatting>
  <conditionalFormatting sqref="K34:K35 K26:K28">
    <cfRule type="expression" dxfId="374" priority="31" stopIfTrue="1">
      <formula>IF(L26="S",TRUE, IF(L26="D", TRUE,FALSE))</formula>
    </cfRule>
  </conditionalFormatting>
  <conditionalFormatting sqref="T5:T8">
    <cfRule type="expression" dxfId="373" priority="30" stopIfTrue="1">
      <formula>IF(U5="S",TRUE, IF(U5="D", TRUE,FALSE))</formula>
    </cfRule>
  </conditionalFormatting>
  <conditionalFormatting sqref="Q26:Q30">
    <cfRule type="expression" dxfId="372" priority="29" stopIfTrue="1">
      <formula>IF(R26="S",TRUE, IF(R26="D", TRUE,FALSE))</formula>
    </cfRule>
  </conditionalFormatting>
  <conditionalFormatting sqref="Z20">
    <cfRule type="expression" dxfId="371" priority="28" stopIfTrue="1">
      <formula>IF(AA20="S",TRUE, IF(AA20="D", TRUE,FALSE))</formula>
    </cfRule>
  </conditionalFormatting>
  <conditionalFormatting sqref="W23">
    <cfRule type="expression" dxfId="370" priority="27" stopIfTrue="1">
      <formula>IF(X23="S",TRUE, IF(X23="D", TRUE,FALSE))</formula>
    </cfRule>
  </conditionalFormatting>
  <conditionalFormatting sqref="W29:W33">
    <cfRule type="expression" dxfId="369" priority="26" stopIfTrue="1">
      <formula>IF(X29="S",TRUE, IF(X29="D", TRUE,FALSE))</formula>
    </cfRule>
  </conditionalFormatting>
  <conditionalFormatting sqref="Z8 Z10">
    <cfRule type="expression" dxfId="368" priority="25" stopIfTrue="1">
      <formula>IF(AA8="S",TRUE, IF(AA8="D", TRUE,FALSE))</formula>
    </cfRule>
  </conditionalFormatting>
  <conditionalFormatting sqref="Z9">
    <cfRule type="expression" dxfId="367" priority="24" stopIfTrue="1">
      <formula>IF(AA9="S",TRUE, IF(AA9="D", TRUE,FALSE))</formula>
    </cfRule>
  </conditionalFormatting>
  <conditionalFormatting sqref="W10">
    <cfRule type="expression" dxfId="366" priority="23" stopIfTrue="1">
      <formula>IF(X10="S",TRUE, IF(X10="D", TRUE,FALSE))</formula>
    </cfRule>
  </conditionalFormatting>
  <conditionalFormatting sqref="AB29">
    <cfRule type="expression" dxfId="365" priority="22" stopIfTrue="1">
      <formula>IF(AA29="S",TRUE,IF(AA29="D",TRUE,FALSE))</formula>
    </cfRule>
  </conditionalFormatting>
  <conditionalFormatting sqref="Q33">
    <cfRule type="expression" dxfId="364" priority="21" stopIfTrue="1">
      <formula>IF(R33="S",TRUE, IF(R33="D", TRUE,FALSE))</formula>
    </cfRule>
  </conditionalFormatting>
  <conditionalFormatting sqref="T32">
    <cfRule type="expression" dxfId="363" priority="20" stopIfTrue="1">
      <formula>IF(U32="S",TRUE, IF(U32="D", TRUE,FALSE))</formula>
    </cfRule>
  </conditionalFormatting>
  <conditionalFormatting sqref="E23:E25">
    <cfRule type="expression" dxfId="362" priority="19" stopIfTrue="1">
      <formula>IF(F23="S",TRUE, IF(F23="D", TRUE,FALSE))</formula>
    </cfRule>
  </conditionalFormatting>
  <conditionalFormatting sqref="E28:E32">
    <cfRule type="expression" dxfId="361" priority="18" stopIfTrue="1">
      <formula>IF(F28="S",TRUE, IF(F28="D", TRUE,FALSE))</formula>
    </cfRule>
  </conditionalFormatting>
  <conditionalFormatting sqref="E35">
    <cfRule type="expression" dxfId="360" priority="17" stopIfTrue="1">
      <formula>IF(F35="S",TRUE, IF(F35="D", TRUE,FALSE))</formula>
    </cfRule>
  </conditionalFormatting>
  <conditionalFormatting sqref="G23:G25">
    <cfRule type="expression" dxfId="359" priority="16" stopIfTrue="1">
      <formula>IF(F23="S",TRUE,IF(F23="D",TRUE,FALSE))</formula>
    </cfRule>
  </conditionalFormatting>
  <conditionalFormatting sqref="G28:G32">
    <cfRule type="expression" dxfId="358" priority="15" stopIfTrue="1">
      <formula>IF(F28="S",TRUE,IF(F28="D",TRUE,FALSE))</formula>
    </cfRule>
  </conditionalFormatting>
  <conditionalFormatting sqref="G35">
    <cfRule type="expression" dxfId="357" priority="14" stopIfTrue="1">
      <formula>IF(F35="S",TRUE,IF(F35="D",TRUE,FALSE))</formula>
    </cfRule>
  </conditionalFormatting>
  <conditionalFormatting sqref="K30:K33">
    <cfRule type="expression" dxfId="356" priority="13" stopIfTrue="1">
      <formula>IF(L30="S",TRUE, IF(L30="D", TRUE,FALSE))</formula>
    </cfRule>
  </conditionalFormatting>
  <conditionalFormatting sqref="N6:N7">
    <cfRule type="expression" dxfId="355" priority="12" stopIfTrue="1">
      <formula>IF(O6="S",TRUE, IF(O6="D", TRUE,FALSE))</formula>
    </cfRule>
  </conditionalFormatting>
  <conditionalFormatting sqref="Q31:Q32">
    <cfRule type="expression" dxfId="354" priority="11" stopIfTrue="1">
      <formula>IF(R31="S",TRUE, IF(R31="D", TRUE,FALSE))</formula>
    </cfRule>
  </conditionalFormatting>
  <conditionalFormatting sqref="H5:H7">
    <cfRule type="expression" dxfId="353" priority="10" stopIfTrue="1">
      <formula>IF(I5="S",TRUE, IF(I5="D", TRUE,FALSE))</formula>
    </cfRule>
  </conditionalFormatting>
  <conditionalFormatting sqref="H15">
    <cfRule type="expression" dxfId="352" priority="9" stopIfTrue="1">
      <formula>IF(I15="S",TRUE, IF(I15="D", TRUE,FALSE))</formula>
    </cfRule>
  </conditionalFormatting>
  <conditionalFormatting sqref="T10:T12">
    <cfRule type="expression" dxfId="351" priority="8" stopIfTrue="1">
      <formula>IF(U10="S",TRUE, IF(U10="D", TRUE,FALSE))</formula>
    </cfRule>
  </conditionalFormatting>
  <conditionalFormatting sqref="W21">
    <cfRule type="expression" dxfId="350" priority="7" stopIfTrue="1">
      <formula>IF(X21="S",TRUE, IF(X21="D", TRUE,FALSE))</formula>
    </cfRule>
  </conditionalFormatting>
  <conditionalFormatting sqref="Z5:Z7">
    <cfRule type="expression" dxfId="349" priority="6" stopIfTrue="1">
      <formula>IF(AA5="S",TRUE, IF(AA5="D", TRUE,FALSE))</formula>
    </cfRule>
  </conditionalFormatting>
  <conditionalFormatting sqref="Z12:Z15">
    <cfRule type="expression" dxfId="348" priority="5" stopIfTrue="1">
      <formula>IF(AA12="S",TRUE, IF(AA12="D", TRUE,FALSE))</formula>
    </cfRule>
  </conditionalFormatting>
  <conditionalFormatting sqref="Z29">
    <cfRule type="expression" dxfId="347" priority="4" stopIfTrue="1">
      <formula>IF(AA29="S",TRUE, IF(AA29="D", TRUE,FALSE))</formula>
    </cfRule>
  </conditionalFormatting>
  <conditionalFormatting sqref="AB54:AK54">
    <cfRule type="expression" dxfId="346" priority="3" stopIfTrue="1">
      <formula>IF($P$47&gt;#REF!,TRUE,FALSE)</formula>
    </cfRule>
  </conditionalFormatting>
  <conditionalFormatting sqref="T9">
    <cfRule type="expression" dxfId="345" priority="2" stopIfTrue="1">
      <formula>IF(U9="S",TRUE, IF(U9="D", TRUE,FALSE))</formula>
    </cfRule>
  </conditionalFormatting>
  <conditionalFormatting sqref="Z11">
    <cfRule type="expression" dxfId="344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7281" r:id="rId4" name="ComboBox1"/>
  </controls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30">
    <tabColor rgb="FFFF0000"/>
    <pageSetUpPr fitToPage="1"/>
  </sheetPr>
  <dimension ref="B1:BA74"/>
  <sheetViews>
    <sheetView showGridLines="0" zoomScaleNormal="115" workbookViewId="0">
      <selection activeCell="R39" sqref="R39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v>0.375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0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1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2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3">IF(X5="L",$D$46,IF(X5="Ma",$G$46,IF(X5="Me",$J$46,IF(X5="J",$M$46,IF(X5="V",$P$46,"")))))</f>
        <v>0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4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5">IF(AG5="L",$D$46,IF(AG5="Ma",$G$46,IF(AG5="Me",$J$46,IF(AG5="J",$M$46,IF(AG5="V",$P$46,"")))))</f>
        <v>0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6">IF(V5&lt;&gt;"",1,)</f>
        <v>1</v>
      </c>
      <c r="AT5" s="98"/>
      <c r="AU5" s="98"/>
      <c r="AV5" s="98"/>
      <c r="AW5" s="98"/>
      <c r="AX5" s="98">
        <f t="shared" ref="AX5:AX18" si="7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8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ref="G6:G23" si="9">IF(F6="L",$D$46,IF(F6="Ma",$G$46,IF(F6="Me",$J$46,IF(F6="J",$M$46,IF(F6="V",$P$46,"")))))</f>
        <v>0.3125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0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1"/>
        <v/>
      </c>
      <c r="T6" s="33">
        <v>2</v>
      </c>
      <c r="U6" s="87" t="str">
        <f>CHOOSE(WEEKDAY(Calendrier!H6,2),"L","Ma","Me","J","V","S","D")</f>
        <v>S</v>
      </c>
      <c r="V6" s="65" t="str">
        <f t="shared" si="2"/>
        <v/>
      </c>
      <c r="W6" s="33">
        <v>2</v>
      </c>
      <c r="X6" s="87" t="str">
        <f>CHOOSE(WEEKDAY(Calendrier!I6,2),"L","Ma","Me","J","V","S","D")</f>
        <v>Ma</v>
      </c>
      <c r="Y6" s="100">
        <f t="shared" si="3"/>
        <v>0.3125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0.3125</v>
      </c>
      <c r="AC6" s="33">
        <v>2</v>
      </c>
      <c r="AD6" s="87" t="str">
        <f>CHOOSE(WEEKDAY(Calendrier!K6,2),"L","Ma","Me","J","V","S","D")</f>
        <v>D</v>
      </c>
      <c r="AE6" s="65" t="str">
        <f t="shared" si="4"/>
        <v/>
      </c>
      <c r="AF6" s="33">
        <v>2</v>
      </c>
      <c r="AG6" s="87" t="str">
        <f>CHOOSE(WEEKDAY(Calendrier!L6,2),"L","Ma","Me","J","V","S","D")</f>
        <v>Ma</v>
      </c>
      <c r="AH6" s="100">
        <f t="shared" si="5"/>
        <v>0.3125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6"/>
        <v>0</v>
      </c>
      <c r="AT6" s="98"/>
      <c r="AU6" s="98">
        <f>IF(AB6&lt;&gt;"",1,)</f>
        <v>1</v>
      </c>
      <c r="AV6" s="98"/>
      <c r="AW6" s="98"/>
      <c r="AX6" s="98">
        <f t="shared" si="7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8"/>
        <v>0</v>
      </c>
      <c r="E7" s="33">
        <v>3</v>
      </c>
      <c r="F7" s="87" t="str">
        <f>CHOOSE(WEEKDAY(Calendrier!C7,2),"L","Ma","Me","J","V","S","D")</f>
        <v>Me</v>
      </c>
      <c r="G7" s="65">
        <f t="shared" si="9"/>
        <v>0.25000000000000006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0"/>
        <v>0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1"/>
        <v/>
      </c>
      <c r="T7" s="33">
        <v>3</v>
      </c>
      <c r="U7" s="87" t="str">
        <f>CHOOSE(WEEKDAY(Calendrier!H7,2),"L","Ma","Me","J","V","S","D")</f>
        <v>D</v>
      </c>
      <c r="V7" s="65" t="str">
        <f t="shared" si="2"/>
        <v/>
      </c>
      <c r="W7" s="33">
        <v>3</v>
      </c>
      <c r="X7" s="87" t="str">
        <f>CHOOSE(WEEKDAY(Calendrier!I7,2),"L","Ma","Me","J","V","S","D")</f>
        <v>Me</v>
      </c>
      <c r="Y7" s="65">
        <f t="shared" si="3"/>
        <v>0.25000000000000006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4"/>
        <v>0</v>
      </c>
      <c r="AF7" s="33">
        <v>3</v>
      </c>
      <c r="AG7" s="87" t="str">
        <f>CHOOSE(WEEKDAY(Calendrier!L7,2),"L","Ma","Me","J","V","S","D")</f>
        <v>Me</v>
      </c>
      <c r="AH7" s="65">
        <f t="shared" si="5"/>
        <v>0.25000000000000006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6"/>
        <v>0</v>
      </c>
      <c r="AT7" s="98"/>
      <c r="AU7" s="98"/>
      <c r="AV7" s="98"/>
      <c r="AW7" s="98"/>
      <c r="AX7" s="98">
        <f t="shared" si="7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8"/>
        <v>0.3125</v>
      </c>
      <c r="E8" s="33">
        <v>4</v>
      </c>
      <c r="F8" s="87" t="str">
        <f>CHOOSE(WEEKDAY(Calendrier!C8,2),"L","Ma","Me","J","V","S","D")</f>
        <v>J</v>
      </c>
      <c r="G8" s="65">
        <f t="shared" si="9"/>
        <v>0.3125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0"/>
        <v>0.3125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1"/>
        <v>0</v>
      </c>
      <c r="T8" s="33">
        <v>4</v>
      </c>
      <c r="U8" s="87" t="str">
        <f>CHOOSE(WEEKDAY(Calendrier!H8,2),"L","Ma","Me","J","V","S","D")</f>
        <v>L</v>
      </c>
      <c r="V8" s="100">
        <f t="shared" si="2"/>
        <v>0</v>
      </c>
      <c r="W8" s="33">
        <v>4</v>
      </c>
      <c r="X8" s="87" t="str">
        <f>CHOOSE(WEEKDAY(Calendrier!I8,2),"L","Ma","Me","J","V","S","D")</f>
        <v>J</v>
      </c>
      <c r="Y8" s="65">
        <f t="shared" si="3"/>
        <v>0.3125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4"/>
        <v>0.3125</v>
      </c>
      <c r="AF8" s="33">
        <v>4</v>
      </c>
      <c r="AG8" s="87" t="str">
        <f>CHOOSE(WEEKDAY(Calendrier!L8,2),"L","Ma","Me","J","V","S","D")</f>
        <v>J</v>
      </c>
      <c r="AH8" s="65">
        <f t="shared" si="5"/>
        <v>0.3125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6"/>
        <v>1</v>
      </c>
      <c r="AT8" s="98"/>
      <c r="AU8" s="98"/>
      <c r="AV8" s="98"/>
      <c r="AW8" s="98"/>
      <c r="AX8" s="98">
        <f t="shared" si="7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8"/>
        <v>0.25000000000000006</v>
      </c>
      <c r="E9" s="33">
        <v>5</v>
      </c>
      <c r="F9" s="87" t="str">
        <f>CHOOSE(WEEKDAY(Calendrier!C9,2),"L","Ma","Me","J","V","S","D")</f>
        <v>V</v>
      </c>
      <c r="G9" s="65">
        <f t="shared" si="9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</v>
      </c>
      <c r="K9" s="33">
        <v>5</v>
      </c>
      <c r="L9" s="87" t="str">
        <f>CHOOSE(WEEKDAY(Calendrier!E9,2),"L","Ma","Me","J","V","S","D")</f>
        <v>Me</v>
      </c>
      <c r="M9" s="65">
        <f t="shared" si="0"/>
        <v>0.25000000000000006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1"/>
        <v>0.3125</v>
      </c>
      <c r="T9" s="33">
        <v>5</v>
      </c>
      <c r="U9" s="87" t="str">
        <f>CHOOSE(WEEKDAY(Calendrier!H9,2),"L","Ma","Me","J","V","S","D")</f>
        <v>Ma</v>
      </c>
      <c r="V9" s="100">
        <f t="shared" si="2"/>
        <v>0.3125</v>
      </c>
      <c r="W9" s="33">
        <v>5</v>
      </c>
      <c r="X9" s="87" t="str">
        <f>CHOOSE(WEEKDAY(Calendrier!I9,2),"L","Ma","Me","J","V","S","D")</f>
        <v>V</v>
      </c>
      <c r="Y9" s="65">
        <f t="shared" si="3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4"/>
        <v>0.25000000000000006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6"/>
        <v>1</v>
      </c>
      <c r="AT9" s="98"/>
      <c r="AU9" s="98"/>
      <c r="AV9" s="98"/>
      <c r="AW9" s="98"/>
      <c r="AX9" s="98">
        <f t="shared" si="7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8"/>
        <v>0.3125</v>
      </c>
      <c r="E10" s="33">
        <v>6</v>
      </c>
      <c r="F10" s="87" t="str">
        <f>CHOOSE(WEEKDAY(Calendrier!C10,2),"L","Ma","Me","J","V","S","D")</f>
        <v>S</v>
      </c>
      <c r="G10" s="65" t="str">
        <f t="shared" si="9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0.3125</v>
      </c>
      <c r="K10" s="33">
        <v>6</v>
      </c>
      <c r="L10" s="87" t="str">
        <f>CHOOSE(WEEKDAY(Calendrier!E10,2),"L","Ma","Me","J","V","S","D")</f>
        <v>J</v>
      </c>
      <c r="M10" s="65">
        <v>0.35416666666666669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1"/>
        <v>0.25000000000000006</v>
      </c>
      <c r="T10" s="33">
        <v>6</v>
      </c>
      <c r="U10" s="87" t="str">
        <f>CHOOSE(WEEKDAY(Calendrier!H10,2),"L","Ma","Me","J","V","S","D")</f>
        <v>Me</v>
      </c>
      <c r="V10" s="65">
        <f t="shared" si="2"/>
        <v>0.25000000000000006</v>
      </c>
      <c r="W10" s="33">
        <v>6</v>
      </c>
      <c r="X10" s="87" t="str">
        <f>CHOOSE(WEEKDAY(Calendrier!I10,2),"L","Ma","Me","J","V","S","D")</f>
        <v>S</v>
      </c>
      <c r="Y10" s="65" t="str">
        <f t="shared" si="3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</v>
      </c>
      <c r="AC10" s="33">
        <v>6</v>
      </c>
      <c r="AD10" s="87" t="str">
        <f>CHOOSE(WEEKDAY(Calendrier!K10,2),"L","Ma","Me","J","V","S","D")</f>
        <v>J</v>
      </c>
      <c r="AE10" s="65">
        <f t="shared" si="4"/>
        <v>0.3125</v>
      </c>
      <c r="AF10" s="33">
        <v>6</v>
      </c>
      <c r="AG10" s="87" t="str">
        <f>CHOOSE(WEEKDAY(Calendrier!L10,2),"L","Ma","Me","J","V","S","D")</f>
        <v>S</v>
      </c>
      <c r="AH10" s="65" t="str">
        <f t="shared" si="5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6"/>
        <v>1</v>
      </c>
      <c r="AT10" s="98"/>
      <c r="AU10" s="98"/>
      <c r="AV10" s="98"/>
      <c r="AW10" s="98"/>
      <c r="AX10" s="98">
        <f t="shared" si="7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8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9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0.25000000000000006</v>
      </c>
      <c r="K11" s="33">
        <v>7</v>
      </c>
      <c r="L11" s="87" t="str">
        <f>CHOOSE(WEEKDAY(Calendrier!E11,2),"L","Ma","Me","J","V","S","D")</f>
        <v>V</v>
      </c>
      <c r="M11" s="65">
        <f t="shared" si="0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</v>
      </c>
      <c r="Q11" s="33">
        <v>7</v>
      </c>
      <c r="R11" s="87" t="str">
        <f>CHOOSE(WEEKDAY(Calendrier!G11,2),"L","Ma","Me","J","V","S","D")</f>
        <v>J</v>
      </c>
      <c r="S11" s="65">
        <f t="shared" si="1"/>
        <v>0.3125</v>
      </c>
      <c r="T11" s="33">
        <v>7</v>
      </c>
      <c r="U11" s="87" t="str">
        <f>CHOOSE(WEEKDAY(Calendrier!H11,2),"L","Ma","Me","J","V","S","D")</f>
        <v>J</v>
      </c>
      <c r="V11" s="65">
        <f t="shared" si="2"/>
        <v>0.3125</v>
      </c>
      <c r="W11" s="33">
        <v>7</v>
      </c>
      <c r="X11" s="87" t="str">
        <f>CHOOSE(WEEKDAY(Calendrier!I11,2),"L","Ma","Me","J","V","S","D")</f>
        <v>D</v>
      </c>
      <c r="Y11" s="65" t="str">
        <f t="shared" si="3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0.3125</v>
      </c>
      <c r="AC11" s="33">
        <v>7</v>
      </c>
      <c r="AD11" s="87" t="str">
        <f>CHOOSE(WEEKDAY(Calendrier!K11,2),"L","Ma","Me","J","V","S","D")</f>
        <v>V</v>
      </c>
      <c r="AE11" s="65">
        <f t="shared" si="4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5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6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7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8"/>
        <v/>
      </c>
      <c r="E12" s="33">
        <v>8</v>
      </c>
      <c r="F12" s="87" t="str">
        <f>CHOOSE(WEEKDAY(Calendrier!C12,2),"L","Ma","Me","J","V","S","D")</f>
        <v>L</v>
      </c>
      <c r="G12" s="100">
        <f t="shared" si="9"/>
        <v>0</v>
      </c>
      <c r="H12" s="33">
        <v>8</v>
      </c>
      <c r="I12" s="87" t="str">
        <f>CHOOSE(WEEKDAY(Calendrier!D12,2),"L","Ma","Me","J","V","S","D")</f>
        <v>J</v>
      </c>
      <c r="J12" s="65">
        <v>0.35416666666666669</v>
      </c>
      <c r="K12" s="33">
        <v>8</v>
      </c>
      <c r="L12" s="87" t="str">
        <f>CHOOSE(WEEKDAY(Calendrier!E12,2),"L","Ma","Me","J","V","S","D")</f>
        <v>S</v>
      </c>
      <c r="M12" s="65" t="str">
        <f t="shared" si="0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0.3125</v>
      </c>
      <c r="Q12" s="33">
        <v>8</v>
      </c>
      <c r="R12" s="87" t="str">
        <f>CHOOSE(WEEKDAY(Calendrier!G12,2),"L","Ma","Me","J","V","S","D")</f>
        <v>V</v>
      </c>
      <c r="S12" s="65">
        <f t="shared" si="1"/>
        <v>0</v>
      </c>
      <c r="T12" s="33">
        <v>8</v>
      </c>
      <c r="U12" s="87" t="str">
        <f>CHOOSE(WEEKDAY(Calendrier!H12,2),"L","Ma","Me","J","V","S","D")</f>
        <v>V</v>
      </c>
      <c r="V12" s="65">
        <f t="shared" si="2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4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7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8"/>
        <v/>
      </c>
      <c r="E13" s="33">
        <v>9</v>
      </c>
      <c r="F13" s="87" t="str">
        <f>CHOOSE(WEEKDAY(Calendrier!C13,2),"L","Ma","Me","J","V","S","D")</f>
        <v>Ma</v>
      </c>
      <c r="G13" s="100">
        <f t="shared" si="9"/>
        <v>0.3125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0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0.25000000000000006</v>
      </c>
      <c r="Q13" s="33">
        <v>9</v>
      </c>
      <c r="R13" s="87" t="str">
        <f>CHOOSE(WEEKDAY(Calendrier!G13,2),"L","Ma","Me","J","V","S","D")</f>
        <v>S</v>
      </c>
      <c r="S13" s="65" t="str">
        <f t="shared" si="1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2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0.3125</v>
      </c>
      <c r="AC13" s="111">
        <v>9</v>
      </c>
      <c r="AD13" s="112" t="str">
        <f>CHOOSE(WEEKDAY(Calendrier!K13,2),"L","Ma","Me","J","V","S","D")</f>
        <v>D</v>
      </c>
      <c r="AE13" s="65" t="str">
        <f t="shared" si="4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7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8"/>
        <v>0</v>
      </c>
      <c r="E14" s="33">
        <v>10</v>
      </c>
      <c r="F14" s="87" t="str">
        <f>CHOOSE(WEEKDAY(Calendrier!C14,2),"L","Ma","Me","J","V","S","D")</f>
        <v>Me</v>
      </c>
      <c r="G14" s="65">
        <f t="shared" si="9"/>
        <v>0.25000000000000006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0"/>
        <v>0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0.3125</v>
      </c>
      <c r="Q14" s="33">
        <v>10</v>
      </c>
      <c r="R14" s="87" t="str">
        <f>CHOOSE(WEEKDAY(Calendrier!G14,2),"L","Ma","Me","J","V","S","D")</f>
        <v>D</v>
      </c>
      <c r="S14" s="65" t="str">
        <f t="shared" si="1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2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7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8"/>
        <v>0.3125</v>
      </c>
      <c r="E15" s="33">
        <v>11</v>
      </c>
      <c r="F15" s="87" t="str">
        <f>CHOOSE(WEEKDAY(Calendrier!C15,2),"L","Ma","Me","J","V","S","D")</f>
        <v>J</v>
      </c>
      <c r="G15" s="65">
        <f t="shared" si="9"/>
        <v>0.3125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0.3125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2"/>
        <v>0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4"/>
        <v>0.3125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7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8"/>
        <v>0.25000000000000006</v>
      </c>
      <c r="E16" s="33">
        <v>12</v>
      </c>
      <c r="F16" s="87" t="str">
        <f>CHOOSE(WEEKDAY(Calendrier!C16,2),"L","Ma","Me","J","V","S","D")</f>
        <v>V</v>
      </c>
      <c r="G16" s="65">
        <f t="shared" si="9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</v>
      </c>
      <c r="K16" s="33">
        <v>12</v>
      </c>
      <c r="L16" s="87" t="str">
        <f>CHOOSE(WEEKDAY(Calendrier!E16,2),"L","Ma","Me","J","V","S","D")</f>
        <v>Me</v>
      </c>
      <c r="M16" s="65">
        <f t="shared" si="0"/>
        <v>0.25000000000000006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2"/>
        <v>0.3125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4"/>
        <v>0.25000000000000006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7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8"/>
        <v>0.3125</v>
      </c>
      <c r="E17" s="33">
        <v>13</v>
      </c>
      <c r="F17" s="87" t="str">
        <f>CHOOSE(WEEKDAY(Calendrier!C17,2),"L","Ma","Me","J","V","S","D")</f>
        <v>S</v>
      </c>
      <c r="G17" s="65" t="str">
        <f t="shared" si="9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0.3125</v>
      </c>
      <c r="K17" s="33">
        <v>13</v>
      </c>
      <c r="L17" s="87" t="str">
        <f>CHOOSE(WEEKDAY(Calendrier!E17,2),"L","Ma","Me","J","V","S","D")</f>
        <v>J</v>
      </c>
      <c r="M17" s="65">
        <f t="shared" si="0"/>
        <v>0.3125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2"/>
        <v>0.25000000000000006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</v>
      </c>
      <c r="AC17" s="33">
        <v>13</v>
      </c>
      <c r="AD17" s="87" t="str">
        <f>CHOOSE(WEEKDAY(Calendrier!K17,2),"L","Ma","Me","J","V","S","D")</f>
        <v>J</v>
      </c>
      <c r="AE17" s="65">
        <f t="shared" si="4"/>
        <v>0.3125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7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8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9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0.25000000000000006</v>
      </c>
      <c r="K18" s="33">
        <v>14</v>
      </c>
      <c r="L18" s="87" t="str">
        <f>CHOOSE(WEEKDAY(Calendrier!E18,2),"L","Ma","Me","J","V","S","D")</f>
        <v>V</v>
      </c>
      <c r="M18" s="65">
        <f t="shared" si="0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2"/>
        <v>0.3125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0.3125</v>
      </c>
      <c r="AC18" s="33">
        <v>14</v>
      </c>
      <c r="AD18" s="87" t="str">
        <f>CHOOSE(WEEKDAY(Calendrier!K18,2),"L","Ma","Me","J","V","S","D")</f>
        <v>V</v>
      </c>
      <c r="AE18" s="65">
        <f t="shared" si="4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7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8"/>
        <v/>
      </c>
      <c r="E19" s="33">
        <v>15</v>
      </c>
      <c r="F19" s="87" t="str">
        <f>CHOOSE(WEEKDAY(Calendrier!C19,2),"L","Ma","Me","J","V","S","D")</f>
        <v>L</v>
      </c>
      <c r="G19" s="100">
        <f t="shared" si="9"/>
        <v>0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0.3125</v>
      </c>
      <c r="K19" s="33">
        <v>15</v>
      </c>
      <c r="L19" s="87" t="str">
        <f>CHOOSE(WEEKDAY(Calendrier!E19,2),"L","Ma","Me","J","V","S","D")</f>
        <v>S</v>
      </c>
      <c r="M19" s="65" t="str">
        <f t="shared" si="0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0.3125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2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0.25000000000000006</v>
      </c>
      <c r="AC19" s="33">
        <v>15</v>
      </c>
      <c r="AD19" s="87" t="str">
        <f>CHOOSE(WEEKDAY(Calendrier!K19,2),"L","Ma","Me","J","V","S","D")</f>
        <v>S</v>
      </c>
      <c r="AE19" s="65" t="str">
        <f t="shared" si="4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9"/>
        <v>0.3125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0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0.25000000000000006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2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0.3125</v>
      </c>
      <c r="AC20" s="33">
        <v>16</v>
      </c>
      <c r="AD20" s="87" t="str">
        <f>CHOOSE(WEEKDAY(Calendrier!K20,2),"L","Ma","Me","J","V","S","D")</f>
        <v>D</v>
      </c>
      <c r="AE20" s="65" t="str">
        <f t="shared" si="4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8"/>
        <v>0</v>
      </c>
      <c r="E21" s="33">
        <v>17</v>
      </c>
      <c r="F21" s="87" t="str">
        <f>CHOOSE(WEEKDAY(Calendrier!C21,2),"L","Ma","Me","J","V","S","D")</f>
        <v>Me</v>
      </c>
      <c r="G21" s="65">
        <f t="shared" si="9"/>
        <v>0.25000000000000006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0"/>
        <v>0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0.3125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2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4"/>
        <v>0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8"/>
        <v>0.3125</v>
      </c>
      <c r="E22" s="33">
        <v>18</v>
      </c>
      <c r="F22" s="87" t="str">
        <f>CHOOSE(WEEKDAY(Calendrier!C22,2),"L","Ma","Me","J","V","S","D")</f>
        <v>J</v>
      </c>
      <c r="G22" s="65">
        <f t="shared" si="9"/>
        <v>0.3125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0"/>
        <v>0.3125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2"/>
        <v>0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4"/>
        <v>0.3125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8"/>
        <v>0.25000000000000006</v>
      </c>
      <c r="E23" s="33">
        <v>19</v>
      </c>
      <c r="F23" s="87" t="str">
        <f>CHOOSE(WEEKDAY(Calendrier!C23,2),"L","Ma","Me","J","V","S","D")</f>
        <v>V</v>
      </c>
      <c r="G23" s="65">
        <f t="shared" si="9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</v>
      </c>
      <c r="K23" s="33">
        <v>19</v>
      </c>
      <c r="L23" s="87" t="str">
        <f>CHOOSE(WEEKDAY(Calendrier!E23,2),"L","Ma","Me","J","V","S","D")</f>
        <v>Me</v>
      </c>
      <c r="M23" s="65">
        <f t="shared" si="0"/>
        <v>0.25000000000000006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2"/>
        <v>0.3125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4"/>
        <v>0.25000000000000006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8"/>
        <v>0.3125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0.3125</v>
      </c>
      <c r="K24" s="33">
        <v>20</v>
      </c>
      <c r="L24" s="87" t="str">
        <f>CHOOSE(WEEKDAY(Calendrier!E24,2),"L","Ma","Me","J","V","S","D")</f>
        <v>J</v>
      </c>
      <c r="M24" s="65">
        <f t="shared" si="0"/>
        <v>0.3125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2"/>
        <v>0.25000000000000006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</v>
      </c>
      <c r="AC24" s="33">
        <v>20</v>
      </c>
      <c r="AD24" s="87" t="str">
        <f>CHOOSE(WEEKDAY(Calendrier!K24,2),"L","Ma","Me","J","V","S","D")</f>
        <v>J</v>
      </c>
      <c r="AE24" s="65">
        <f t="shared" si="4"/>
        <v>0.3125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0.25000000000000006</v>
      </c>
      <c r="K25" s="33">
        <v>21</v>
      </c>
      <c r="L25" s="87" t="str">
        <f>CHOOSE(WEEKDAY(Calendrier!E25,2),"L","Ma","Me","J","V","S","D")</f>
        <v>V</v>
      </c>
      <c r="M25" s="65">
        <f t="shared" si="0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2"/>
        <v>0.3125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0.3125</v>
      </c>
      <c r="AC25" s="33">
        <v>21</v>
      </c>
      <c r="AD25" s="87" t="str">
        <f>CHOOSE(WEEKDAY(Calendrier!K25,2),"L","Ma","Me","J","V","S","D")</f>
        <v>V</v>
      </c>
      <c r="AE25" s="65">
        <f t="shared" si="4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8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0.3125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0.3125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2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0.25000000000000006</v>
      </c>
      <c r="AC26" s="33">
        <v>22</v>
      </c>
      <c r="AD26" s="87" t="str">
        <f>CHOOSE(WEEKDAY(Calendrier!K26,2),"L","Ma","Me","J","V","S","D")</f>
        <v>S</v>
      </c>
      <c r="AE26" s="65" t="str">
        <f t="shared" si="4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8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0.25000000000000006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2"/>
        <v/>
      </c>
      <c r="W27" s="111">
        <v>23</v>
      </c>
      <c r="X27" s="112" t="str">
        <f>CHOOSE(WEEKDAY(Calendrier!I27,2),"L","Ma","Me","J","V","S","D")</f>
        <v>Ma</v>
      </c>
      <c r="Y27" s="120">
        <f t="shared" si="3"/>
        <v>0.3125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0.3125</v>
      </c>
      <c r="AC27" s="33">
        <v>23</v>
      </c>
      <c r="AD27" s="87" t="str">
        <f>CHOOSE(WEEKDAY(Calendrier!K27,2),"L","Ma","Me","J","V","S","D")</f>
        <v>D</v>
      </c>
      <c r="AE27" s="65" t="str">
        <f t="shared" si="4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8"/>
        <v>0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0.3125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2"/>
        <v/>
      </c>
      <c r="W28" s="111">
        <v>24</v>
      </c>
      <c r="X28" s="112" t="str">
        <f>CHOOSE(WEEKDAY(Calendrier!I28,2),"L","Ma","Me","J","V","S","D")</f>
        <v>Me</v>
      </c>
      <c r="Y28" s="116">
        <f t="shared" si="3"/>
        <v>0.25000000000000006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4"/>
        <v>0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8"/>
        <v>0.3125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1"/>
        <v>0</v>
      </c>
      <c r="T29" s="33">
        <v>25</v>
      </c>
      <c r="U29" s="87" t="str">
        <f>CHOOSE(WEEKDAY(Calendrier!H29,2),"L","Ma","Me","J","V","S","D")</f>
        <v>L</v>
      </c>
      <c r="V29" s="100">
        <f t="shared" si="2"/>
        <v>0</v>
      </c>
      <c r="W29" s="33">
        <v>25</v>
      </c>
      <c r="X29" s="87" t="str">
        <f>CHOOSE(WEEKDAY(Calendrier!I29,2),"L","Ma","Me","J","V","S","D")</f>
        <v>J</v>
      </c>
      <c r="Y29" s="65">
        <f t="shared" si="3"/>
        <v>0.3125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4"/>
        <v>0.3125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8"/>
        <v>0.25000000000000006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1"/>
        <v>0.3125</v>
      </c>
      <c r="T30" s="33">
        <v>26</v>
      </c>
      <c r="U30" s="87" t="str">
        <f>CHOOSE(WEEKDAY(Calendrier!H30,2),"L","Ma","Me","J","V","S","D")</f>
        <v>Ma</v>
      </c>
      <c r="V30" s="100">
        <f t="shared" si="2"/>
        <v>0.3125</v>
      </c>
      <c r="W30" s="33">
        <v>26</v>
      </c>
      <c r="X30" s="87" t="str">
        <f>CHOOSE(WEEKDAY(Calendrier!I30,2),"L","Ma","Me","J","V","S","D")</f>
        <v>V</v>
      </c>
      <c r="Y30" s="65">
        <f t="shared" si="3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4"/>
        <v>0.25000000000000006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8"/>
        <v>0.3125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0.3125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1"/>
        <v>0.25000000000000006</v>
      </c>
      <c r="T31" s="33">
        <v>27</v>
      </c>
      <c r="U31" s="87" t="str">
        <f>CHOOSE(WEEKDAY(Calendrier!H31,2),"L","Ma","Me","J","V","S","D")</f>
        <v>Me</v>
      </c>
      <c r="V31" s="65">
        <f t="shared" si="2"/>
        <v>0.25000000000000006</v>
      </c>
      <c r="W31" s="33">
        <v>27</v>
      </c>
      <c r="X31" s="87" t="str">
        <f>CHOOSE(WEEKDAY(Calendrier!I31,2),"L","Ma","Me","J","V","S","D")</f>
        <v>S</v>
      </c>
      <c r="Y31" s="65" t="str">
        <f t="shared" si="3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</v>
      </c>
      <c r="AC31" s="33">
        <v>27</v>
      </c>
      <c r="AD31" s="87" t="str">
        <f>CHOOSE(WEEKDAY(Calendrier!K31,2),"L","Ma","Me","J","V","S","D")</f>
        <v>J</v>
      </c>
      <c r="AE31" s="65">
        <f t="shared" si="4"/>
        <v>0.3125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8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0.25000000000000006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</v>
      </c>
      <c r="Q32" s="33">
        <v>28</v>
      </c>
      <c r="R32" s="87" t="str">
        <f>CHOOSE(WEEKDAY(Calendrier!G32,2),"L","Ma","Me","J","V","S","D")</f>
        <v>J</v>
      </c>
      <c r="S32" s="65">
        <f t="shared" si="1"/>
        <v>0.3125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0.3125</v>
      </c>
      <c r="W32" s="33">
        <v>28</v>
      </c>
      <c r="X32" s="87" t="str">
        <f>CHOOSE(WEEKDAY(Calendrier!I32,2),"L","Ma","Me","J","V","S","D")</f>
        <v>D</v>
      </c>
      <c r="Y32" s="65" t="str">
        <f t="shared" si="3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0.3125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8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v>0.35416666666666669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0.3125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2"/>
        <v>0</v>
      </c>
      <c r="W33" s="33">
        <v>29</v>
      </c>
      <c r="X33" s="87" t="str">
        <f>CHOOSE(WEEKDAY(Calendrier!I33,2),"L","Ma","Me","J","V","S","D")</f>
        <v>L</v>
      </c>
      <c r="Y33" s="100">
        <f t="shared" si="3"/>
        <v>0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0.25000000000000006</v>
      </c>
      <c r="AC33" s="33">
        <v>29</v>
      </c>
      <c r="AD33" s="87" t="str">
        <f>CHOOSE(WEEKDAY(Calendrier!K33,2),"L","Ma","Me","J","V","S","D")</f>
        <v>S</v>
      </c>
      <c r="AE33" s="65" t="str">
        <f t="shared" si="4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8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0.25000000000000006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2"/>
        <v/>
      </c>
      <c r="W34" s="113">
        <v>30</v>
      </c>
      <c r="X34" s="114" t="str">
        <f>CHOOSE(WEEKDAY(Calendrier!I34,2),"L","Ma","Me","J","V","S","D")</f>
        <v>Ma</v>
      </c>
      <c r="Y34" s="100">
        <f t="shared" si="3"/>
        <v>0.3125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4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0.3125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2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3.5</v>
      </c>
      <c r="E36" s="39"/>
      <c r="F36" s="31"/>
      <c r="G36" s="37">
        <f>SUM(G5:G35)</f>
        <v>3.25</v>
      </c>
      <c r="H36" s="40"/>
      <c r="I36" s="28"/>
      <c r="J36" s="38">
        <f>SUM(J5:J35)</f>
        <v>3.5833333333333335</v>
      </c>
      <c r="K36" s="39"/>
      <c r="L36" s="31"/>
      <c r="M36" s="38">
        <f>SUM(M5:M35)</f>
        <v>2.666666666666667</v>
      </c>
      <c r="N36" s="39"/>
      <c r="O36" s="32"/>
      <c r="P36" s="38">
        <f>SUM(P5:P35)</f>
        <v>3.5</v>
      </c>
      <c r="Q36" s="41"/>
      <c r="R36" s="29"/>
      <c r="S36" s="38">
        <f>SUM(S5:S35)</f>
        <v>1.75</v>
      </c>
      <c r="T36" s="39"/>
      <c r="U36" s="32"/>
      <c r="V36" s="38">
        <f>SUM(V5:V35)</f>
        <v>3.5</v>
      </c>
      <c r="W36" s="39"/>
      <c r="X36" s="32"/>
      <c r="Y36" s="38">
        <f>SUM(Y5:Y34)</f>
        <v>2.0625</v>
      </c>
      <c r="Z36" s="39"/>
      <c r="AA36" s="32"/>
      <c r="AB36" s="38">
        <f>SUM(AB5:AB35)</f>
        <v>3.25</v>
      </c>
      <c r="AC36" s="39"/>
      <c r="AD36" s="32"/>
      <c r="AE36" s="38">
        <f>SUM(AE7:AE34)</f>
        <v>3.875</v>
      </c>
      <c r="AF36" s="39"/>
      <c r="AG36" s="31"/>
      <c r="AH36" s="38">
        <f>SUM(AH5:AH34)</f>
        <v>1.25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32.1875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/>
      <c r="E42" s="199" t="s">
        <v>13</v>
      </c>
      <c r="F42" s="200"/>
      <c r="G42" s="81">
        <v>0.75</v>
      </c>
      <c r="H42" s="199" t="s">
        <v>14</v>
      </c>
      <c r="I42" s="200"/>
      <c r="J42" s="81">
        <v>0.27083333333333331</v>
      </c>
      <c r="K42" s="199" t="s">
        <v>15</v>
      </c>
      <c r="L42" s="200"/>
      <c r="M42" s="81">
        <v>8.3333333333333329E-2</v>
      </c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/>
      <c r="E43" s="201"/>
      <c r="F43" s="202"/>
      <c r="G43" s="81">
        <v>0.9375</v>
      </c>
      <c r="H43" s="201"/>
      <c r="I43" s="202"/>
      <c r="J43" s="81">
        <v>0.3125</v>
      </c>
      <c r="K43" s="201"/>
      <c r="L43" s="202"/>
      <c r="M43" s="81">
        <v>0.20833333333333334</v>
      </c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8.3333333333333329E-2</v>
      </c>
      <c r="H44" s="201"/>
      <c r="I44" s="202"/>
      <c r="J44" s="81">
        <v>0.72916666666666663</v>
      </c>
      <c r="K44" s="201"/>
      <c r="L44" s="202"/>
      <c r="M44" s="81">
        <v>0.27083333333333331</v>
      </c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0.20833333333333334</v>
      </c>
      <c r="H45" s="201"/>
      <c r="I45" s="202"/>
      <c r="J45" s="81">
        <v>0.9375</v>
      </c>
      <c r="K45" s="201"/>
      <c r="L45" s="202"/>
      <c r="M45" s="81">
        <v>0.45833333333333331</v>
      </c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</v>
      </c>
      <c r="E46" s="203"/>
      <c r="F46" s="204"/>
      <c r="G46" s="82">
        <f>(G43-G42)+(G45-G44)</f>
        <v>0.3125</v>
      </c>
      <c r="H46" s="203"/>
      <c r="I46" s="204"/>
      <c r="J46" s="82">
        <f>(J43-J42)+(J45-J44)</f>
        <v>0.25000000000000006</v>
      </c>
      <c r="K46" s="203"/>
      <c r="L46" s="204"/>
      <c r="M46" s="82">
        <f>(M43-M42)+(M45-M44)</f>
        <v>0.3125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32.1875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0</v>
      </c>
      <c r="K48" s="94"/>
      <c r="L48" s="94"/>
      <c r="M48" s="94">
        <f>IF((M44-M43)&lt;TIME(0,30,0),1,0)</f>
        <v>0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0.1041666666666714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-0.1041666666666714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1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6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0</v>
      </c>
      <c r="AS58" s="97">
        <f>IF(M45="",1,IF(M44="",1,IF((M45-M44)=TIME(0,0,0),1,0)))</f>
        <v>0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0.1041666666666714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343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342" priority="42" stopIfTrue="1">
      <formula>IF(C5="S",TRUE,IF(C5="D",TRUE,FALSE))</formula>
    </cfRule>
  </conditionalFormatting>
  <conditionalFormatting sqref="AB49:AK49 AB53:AK53">
    <cfRule type="expression" dxfId="341" priority="41" stopIfTrue="1">
      <formula xml:space="preserve"> IF($G$38=100,IF($P$47&lt;$AI49,TRUE,FALSE),FALSE)</formula>
    </cfRule>
  </conditionalFormatting>
  <conditionalFormatting sqref="R34">
    <cfRule type="cellIs" dxfId="340" priority="39" stopIfTrue="1" operator="equal">
      <formula>"S"</formula>
    </cfRule>
    <cfRule type="cellIs" dxfId="339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338" priority="38" stopIfTrue="1">
      <formula>IF(C5="S",TRUE,IF(C5="D",TRUE,FALSE))</formula>
    </cfRule>
  </conditionalFormatting>
  <conditionalFormatting sqref="P47">
    <cfRule type="cellIs" dxfId="337" priority="36" stopIfTrue="1" operator="lessThan">
      <formula>1.33333333333333</formula>
    </cfRule>
    <cfRule type="cellIs" dxfId="336" priority="37" stopIfTrue="1" operator="greaterThan">
      <formula>1.83333333333333</formula>
    </cfRule>
  </conditionalFormatting>
  <conditionalFormatting sqref="E26:E27">
    <cfRule type="expression" dxfId="335" priority="35" stopIfTrue="1">
      <formula>IF(F26="S",TRUE, IF(F26="D", TRUE,FALSE))</formula>
    </cfRule>
  </conditionalFormatting>
  <conditionalFormatting sqref="E33:E34">
    <cfRule type="expression" dxfId="334" priority="34" stopIfTrue="1">
      <formula>IF(F33="S",TRUE, IF(F33="D", TRUE,FALSE))</formula>
    </cfRule>
  </conditionalFormatting>
  <conditionalFormatting sqref="H13">
    <cfRule type="expression" dxfId="333" priority="33" stopIfTrue="1">
      <formula>IF(I13="S",TRUE, IF(I13="D", TRUE,FALSE))</formula>
    </cfRule>
  </conditionalFormatting>
  <conditionalFormatting sqref="N8">
    <cfRule type="expression" dxfId="332" priority="32" stopIfTrue="1">
      <formula>IF(O8="S",TRUE, IF(O8="D", TRUE,FALSE))</formula>
    </cfRule>
  </conditionalFormatting>
  <conditionalFormatting sqref="K34:K35 K26:K28">
    <cfRule type="expression" dxfId="331" priority="31" stopIfTrue="1">
      <formula>IF(L26="S",TRUE, IF(L26="D", TRUE,FALSE))</formula>
    </cfRule>
  </conditionalFormatting>
  <conditionalFormatting sqref="T5:T8">
    <cfRule type="expression" dxfId="330" priority="30" stopIfTrue="1">
      <formula>IF(U5="S",TRUE, IF(U5="D", TRUE,FALSE))</formula>
    </cfRule>
  </conditionalFormatting>
  <conditionalFormatting sqref="Q26:Q30">
    <cfRule type="expression" dxfId="329" priority="29" stopIfTrue="1">
      <formula>IF(R26="S",TRUE, IF(R26="D", TRUE,FALSE))</formula>
    </cfRule>
  </conditionalFormatting>
  <conditionalFormatting sqref="Z20">
    <cfRule type="expression" dxfId="328" priority="28" stopIfTrue="1">
      <formula>IF(AA20="S",TRUE, IF(AA20="D", TRUE,FALSE))</formula>
    </cfRule>
  </conditionalFormatting>
  <conditionalFormatting sqref="W23">
    <cfRule type="expression" dxfId="327" priority="27" stopIfTrue="1">
      <formula>IF(X23="S",TRUE, IF(X23="D", TRUE,FALSE))</formula>
    </cfRule>
  </conditionalFormatting>
  <conditionalFormatting sqref="W29:W33">
    <cfRule type="expression" dxfId="326" priority="26" stopIfTrue="1">
      <formula>IF(X29="S",TRUE, IF(X29="D", TRUE,FALSE))</formula>
    </cfRule>
  </conditionalFormatting>
  <conditionalFormatting sqref="Z8 Z10">
    <cfRule type="expression" dxfId="325" priority="25" stopIfTrue="1">
      <formula>IF(AA8="S",TRUE, IF(AA8="D", TRUE,FALSE))</formula>
    </cfRule>
  </conditionalFormatting>
  <conditionalFormatting sqref="Z9">
    <cfRule type="expression" dxfId="324" priority="24" stopIfTrue="1">
      <formula>IF(AA9="S",TRUE, IF(AA9="D", TRUE,FALSE))</formula>
    </cfRule>
  </conditionalFormatting>
  <conditionalFormatting sqref="W10">
    <cfRule type="expression" dxfId="323" priority="23" stopIfTrue="1">
      <formula>IF(X10="S",TRUE, IF(X10="D", TRUE,FALSE))</formula>
    </cfRule>
  </conditionalFormatting>
  <conditionalFormatting sqref="AB29">
    <cfRule type="expression" dxfId="322" priority="22" stopIfTrue="1">
      <formula>IF(AA29="S",TRUE,IF(AA29="D",TRUE,FALSE))</formula>
    </cfRule>
  </conditionalFormatting>
  <conditionalFormatting sqref="Q33">
    <cfRule type="expression" dxfId="321" priority="21" stopIfTrue="1">
      <formula>IF(R33="S",TRUE, IF(R33="D", TRUE,FALSE))</formula>
    </cfRule>
  </conditionalFormatting>
  <conditionalFormatting sqref="T32">
    <cfRule type="expression" dxfId="320" priority="20" stopIfTrue="1">
      <formula>IF(U32="S",TRUE, IF(U32="D", TRUE,FALSE))</formula>
    </cfRule>
  </conditionalFormatting>
  <conditionalFormatting sqref="E23:E25">
    <cfRule type="expression" dxfId="319" priority="19" stopIfTrue="1">
      <formula>IF(F23="S",TRUE, IF(F23="D", TRUE,FALSE))</formula>
    </cfRule>
  </conditionalFormatting>
  <conditionalFormatting sqref="E28:E32">
    <cfRule type="expression" dxfId="318" priority="18" stopIfTrue="1">
      <formula>IF(F28="S",TRUE, IF(F28="D", TRUE,FALSE))</formula>
    </cfRule>
  </conditionalFormatting>
  <conditionalFormatting sqref="E35">
    <cfRule type="expression" dxfId="317" priority="17" stopIfTrue="1">
      <formula>IF(F35="S",TRUE, IF(F35="D", TRUE,FALSE))</formula>
    </cfRule>
  </conditionalFormatting>
  <conditionalFormatting sqref="G23:G25">
    <cfRule type="expression" dxfId="316" priority="16" stopIfTrue="1">
      <formula>IF(F23="S",TRUE,IF(F23="D",TRUE,FALSE))</formula>
    </cfRule>
  </conditionalFormatting>
  <conditionalFormatting sqref="G28:G32">
    <cfRule type="expression" dxfId="315" priority="15" stopIfTrue="1">
      <formula>IF(F28="S",TRUE,IF(F28="D",TRUE,FALSE))</formula>
    </cfRule>
  </conditionalFormatting>
  <conditionalFormatting sqref="G35">
    <cfRule type="expression" dxfId="314" priority="14" stopIfTrue="1">
      <formula>IF(F35="S",TRUE,IF(F35="D",TRUE,FALSE))</formula>
    </cfRule>
  </conditionalFormatting>
  <conditionalFormatting sqref="K30:K33">
    <cfRule type="expression" dxfId="313" priority="13" stopIfTrue="1">
      <formula>IF(L30="S",TRUE, IF(L30="D", TRUE,FALSE))</formula>
    </cfRule>
  </conditionalFormatting>
  <conditionalFormatting sqref="N6:N7">
    <cfRule type="expression" dxfId="312" priority="12" stopIfTrue="1">
      <formula>IF(O6="S",TRUE, IF(O6="D", TRUE,FALSE))</formula>
    </cfRule>
  </conditionalFormatting>
  <conditionalFormatting sqref="Q31:Q32">
    <cfRule type="expression" dxfId="311" priority="11" stopIfTrue="1">
      <formula>IF(R31="S",TRUE, IF(R31="D", TRUE,FALSE))</formula>
    </cfRule>
  </conditionalFormatting>
  <conditionalFormatting sqref="H5:H7">
    <cfRule type="expression" dxfId="310" priority="10" stopIfTrue="1">
      <formula>IF(I5="S",TRUE, IF(I5="D", TRUE,FALSE))</formula>
    </cfRule>
  </conditionalFormatting>
  <conditionalFormatting sqref="H15">
    <cfRule type="expression" dxfId="309" priority="9" stopIfTrue="1">
      <formula>IF(I15="S",TRUE, IF(I15="D", TRUE,FALSE))</formula>
    </cfRule>
  </conditionalFormatting>
  <conditionalFormatting sqref="T10:T12">
    <cfRule type="expression" dxfId="308" priority="8" stopIfTrue="1">
      <formula>IF(U10="S",TRUE, IF(U10="D", TRUE,FALSE))</formula>
    </cfRule>
  </conditionalFormatting>
  <conditionalFormatting sqref="W21">
    <cfRule type="expression" dxfId="307" priority="7" stopIfTrue="1">
      <formula>IF(X21="S",TRUE, IF(X21="D", TRUE,FALSE))</formula>
    </cfRule>
  </conditionalFormatting>
  <conditionalFormatting sqref="Z5:Z7">
    <cfRule type="expression" dxfId="306" priority="6" stopIfTrue="1">
      <formula>IF(AA5="S",TRUE, IF(AA5="D", TRUE,FALSE))</formula>
    </cfRule>
  </conditionalFormatting>
  <conditionalFormatting sqref="Z12:Z15">
    <cfRule type="expression" dxfId="305" priority="5" stopIfTrue="1">
      <formula>IF(AA12="S",TRUE, IF(AA12="D", TRUE,FALSE))</formula>
    </cfRule>
  </conditionalFormatting>
  <conditionalFormatting sqref="Z29">
    <cfRule type="expression" dxfId="304" priority="4" stopIfTrue="1">
      <formula>IF(AA29="S",TRUE, IF(AA29="D", TRUE,FALSE))</formula>
    </cfRule>
  </conditionalFormatting>
  <conditionalFormatting sqref="AB54:AK54">
    <cfRule type="expression" dxfId="303" priority="3" stopIfTrue="1">
      <formula>IF($P$47&gt;#REF!,TRUE,FALSE)</formula>
    </cfRule>
  </conditionalFormatting>
  <conditionalFormatting sqref="T9">
    <cfRule type="expression" dxfId="302" priority="2" stopIfTrue="1">
      <formula>IF(U9="S",TRUE, IF(U9="D", TRUE,FALSE))</formula>
    </cfRule>
  </conditionalFormatting>
  <conditionalFormatting sqref="Z11">
    <cfRule type="expression" dxfId="301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7041" r:id="rId4" name="ComboBox1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35">
    <tabColor rgb="FFFF0000"/>
    <pageSetUpPr fitToPage="1"/>
  </sheetPr>
  <dimension ref="B1:BA74"/>
  <sheetViews>
    <sheetView showGridLines="0" zoomScaleNormal="115" workbookViewId="0">
      <selection activeCell="S39" sqref="S39:X41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0.45833333333333337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0.45833333333333337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0.45833333333333337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0.20833333333333337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0.20833333333333337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0.20833333333333337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0.45833333333333337</v>
      </c>
      <c r="E7" s="33">
        <v>3</v>
      </c>
      <c r="F7" s="87" t="str">
        <f>CHOOSE(WEEKDAY(Calendrier!C7,2),"L","Ma","Me","J","V","S","D")</f>
        <v>Me</v>
      </c>
      <c r="G7" s="65">
        <f t="shared" si="0"/>
        <v>0.16666666666666669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0.45833333333333337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0.16666666666666669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0.45833333333333337</v>
      </c>
      <c r="AF7" s="33">
        <v>3</v>
      </c>
      <c r="AG7" s="87" t="str">
        <f>CHOOSE(WEEKDAY(Calendrier!L7,2),"L","Ma","Me","J","V","S","D")</f>
        <v>Me</v>
      </c>
      <c r="AH7" s="65">
        <f t="shared" si="6"/>
        <v>0.16666666666666669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0.20833333333333337</v>
      </c>
      <c r="E8" s="33">
        <v>4</v>
      </c>
      <c r="F8" s="87" t="str">
        <f>CHOOSE(WEEKDAY(Calendrier!C8,2),"L","Ma","Me","J","V","S","D")</f>
        <v>J</v>
      </c>
      <c r="G8" s="65">
        <f t="shared" si="0"/>
        <v>0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0.20833333333333337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0.45833333333333337</v>
      </c>
      <c r="T8" s="33">
        <v>4</v>
      </c>
      <c r="U8" s="87" t="str">
        <f>CHOOSE(WEEKDAY(Calendrier!H8,2),"L","Ma","Me","J","V","S","D")</f>
        <v>L</v>
      </c>
      <c r="V8" s="100">
        <f t="shared" si="3"/>
        <v>0.45833333333333337</v>
      </c>
      <c r="W8" s="33">
        <v>4</v>
      </c>
      <c r="X8" s="87" t="str">
        <f>CHOOSE(WEEKDAY(Calendrier!I8,2),"L","Ma","Me","J","V","S","D")</f>
        <v>J</v>
      </c>
      <c r="Y8" s="65">
        <f t="shared" si="4"/>
        <v>0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0.20833333333333337</v>
      </c>
      <c r="AF8" s="33">
        <v>4</v>
      </c>
      <c r="AG8" s="87" t="str">
        <f>CHOOSE(WEEKDAY(Calendrier!L8,2),"L","Ma","Me","J","V","S","D")</f>
        <v>J</v>
      </c>
      <c r="AH8" s="65">
        <f t="shared" si="6"/>
        <v>0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0.16666666666666669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0.45833333333333337</v>
      </c>
      <c r="K9" s="33">
        <v>5</v>
      </c>
      <c r="L9" s="87" t="str">
        <f>CHOOSE(WEEKDAY(Calendrier!E9,2),"L","Ma","Me","J","V","S","D")</f>
        <v>Me</v>
      </c>
      <c r="M9" s="65">
        <v>0.35416666666666669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0.20833333333333337</v>
      </c>
      <c r="T9" s="33">
        <v>5</v>
      </c>
      <c r="U9" s="87" t="str">
        <f>CHOOSE(WEEKDAY(Calendrier!H9,2),"L","Ma","Me","J","V","S","D")</f>
        <v>Ma</v>
      </c>
      <c r="V9" s="100">
        <f t="shared" si="3"/>
        <v>0.20833333333333337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0.16666666666666669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0.20833333333333337</v>
      </c>
      <c r="K10" s="33">
        <v>6</v>
      </c>
      <c r="L10" s="87" t="str">
        <f>CHOOSE(WEEKDAY(Calendrier!E10,2),"L","Ma","Me","J","V","S","D")</f>
        <v>J</v>
      </c>
      <c r="M10" s="65">
        <f t="shared" si="1"/>
        <v>0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0.16666666666666669</v>
      </c>
      <c r="T10" s="33">
        <v>6</v>
      </c>
      <c r="U10" s="87" t="str">
        <f>CHOOSE(WEEKDAY(Calendrier!H10,2),"L","Ma","Me","J","V","S","D")</f>
        <v>Me</v>
      </c>
      <c r="V10" s="65">
        <f t="shared" si="3"/>
        <v>0.16666666666666669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0.45833333333333337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0.16666666666666669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0.45833333333333337</v>
      </c>
      <c r="Q11" s="33">
        <v>7</v>
      </c>
      <c r="R11" s="87" t="str">
        <f>CHOOSE(WEEKDAY(Calendrier!G11,2),"L","Ma","Me","J","V","S","D")</f>
        <v>J</v>
      </c>
      <c r="S11" s="65">
        <f t="shared" si="2"/>
        <v>0</v>
      </c>
      <c r="T11" s="33">
        <v>7</v>
      </c>
      <c r="U11" s="87" t="str">
        <f>CHOOSE(WEEKDAY(Calendrier!H11,2),"L","Ma","Me","J","V","S","D")</f>
        <v>J</v>
      </c>
      <c r="V11" s="65">
        <f t="shared" si="3"/>
        <v>0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0.20833333333333337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0.45833333333333337</v>
      </c>
      <c r="H12" s="33">
        <v>8</v>
      </c>
      <c r="I12" s="87" t="str">
        <f>CHOOSE(WEEKDAY(Calendrier!D12,2),"L","Ma","Me","J","V","S","D")</f>
        <v>J</v>
      </c>
      <c r="J12" s="65">
        <f t="shared" si="11"/>
        <v>0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0.20833333333333337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v>0.47916666666666669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0.16666666666666669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0.45833333333333337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0.16666666666666669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0.45833333333333337</v>
      </c>
      <c r="N14" s="33">
        <v>10</v>
      </c>
      <c r="O14" s="87" t="str">
        <f>CHOOSE(WEEKDAY(Calendrier!F14,2),"L","Ma","Me","J","V","S","D")</f>
        <v>J</v>
      </c>
      <c r="P14" s="65">
        <f t="shared" si="12"/>
        <v>0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0.20833333333333337</v>
      </c>
      <c r="E15" s="33">
        <v>11</v>
      </c>
      <c r="F15" s="87" t="str">
        <f>CHOOSE(WEEKDAY(Calendrier!C15,2),"L","Ma","Me","J","V","S","D")</f>
        <v>J</v>
      </c>
      <c r="G15" s="65">
        <f t="shared" si="0"/>
        <v>0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0.20833333333333337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0.45833333333333337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0.20833333333333337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0.16666666666666669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0.45833333333333337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0.16666666666666669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0.20833333333333337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0.16666666666666669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0.20833333333333337</v>
      </c>
      <c r="K17" s="33">
        <v>13</v>
      </c>
      <c r="L17" s="87" t="str">
        <f>CHOOSE(WEEKDAY(Calendrier!E17,2),"L","Ma","Me","J","V","S","D")</f>
        <v>J</v>
      </c>
      <c r="M17" s="65">
        <f t="shared" si="1"/>
        <v>0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0.16666666666666669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0.45833333333333337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0.16666666666666669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0.45833333333333337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0.20833333333333337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0.45833333333333337</v>
      </c>
      <c r="H19" s="33">
        <v>15</v>
      </c>
      <c r="I19" s="87" t="str">
        <f>CHOOSE(WEEKDAY(Calendrier!D19,2),"L","Ma","Me","J","V","S","D")</f>
        <v>J</v>
      </c>
      <c r="J19" s="65">
        <f t="shared" si="11"/>
        <v>0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0.20833333333333337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0.16666666666666669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0.20833333333333337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0.16666666666666669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0.45833333333333337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0.16666666666666669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0.45833333333333337</v>
      </c>
      <c r="N21" s="33">
        <v>17</v>
      </c>
      <c r="O21" s="87" t="str">
        <f>CHOOSE(WEEKDAY(Calendrier!F21,2),"L","Ma","Me","J","V","S","D")</f>
        <v>J</v>
      </c>
      <c r="P21" s="65">
        <f t="shared" si="12"/>
        <v>0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0.45833333333333337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0.20833333333333337</v>
      </c>
      <c r="E22" s="33">
        <v>18</v>
      </c>
      <c r="F22" s="87" t="str">
        <f>CHOOSE(WEEKDAY(Calendrier!C22,2),"L","Ma","Me","J","V","S","D")</f>
        <v>J</v>
      </c>
      <c r="G22" s="65">
        <f t="shared" si="0"/>
        <v>0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0.20833333333333337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0.45833333333333337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0.20833333333333337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0.16666666666666669</v>
      </c>
      <c r="E23" s="33">
        <v>19</v>
      </c>
      <c r="F23" s="87" t="str">
        <f>CHOOSE(WEEKDAY(Calendrier!C23,2),"L","Ma","Me","J","V","S","D")</f>
        <v>V</v>
      </c>
      <c r="G23" s="65">
        <f t="shared" si="0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0.45833333333333337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0.16666666666666669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0.20833333333333337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0.16666666666666669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0.20833333333333337</v>
      </c>
      <c r="K24" s="33">
        <v>20</v>
      </c>
      <c r="L24" s="87" t="str">
        <f>CHOOSE(WEEKDAY(Calendrier!E24,2),"L","Ma","Me","J","V","S","D")</f>
        <v>J</v>
      </c>
      <c r="M24" s="65">
        <f t="shared" si="1"/>
        <v>0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0.16666666666666669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0.45833333333333337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0.16666666666666669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0.45833333333333337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0.20833333333333337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0.20833333333333337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0.16666666666666669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0.16666666666666669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0.20833333333333337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0.45833333333333337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0.16666666666666669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0.45833333333333337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0.20833333333333337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0.45833333333333337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0.45833333333333337</v>
      </c>
      <c r="W29" s="33">
        <v>25</v>
      </c>
      <c r="X29" s="87" t="str">
        <f>CHOOSE(WEEKDAY(Calendrier!I29,2),"L","Ma","Me","J","V","S","D")</f>
        <v>J</v>
      </c>
      <c r="Y29" s="65">
        <f t="shared" si="4"/>
        <v>0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0.20833333333333337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0.16666666666666669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0.45833333333333337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0.20833333333333337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0.20833333333333337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0.16666666666666669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0.20833333333333337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0.16666666666666669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0.16666666666666669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0.45833333333333337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0.16666666666666669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0.45833333333333337</v>
      </c>
      <c r="Q32" s="33">
        <v>28</v>
      </c>
      <c r="R32" s="87" t="str">
        <f>CHOOSE(WEEKDAY(Calendrier!G32,2),"L","Ma","Me","J","V","S","D")</f>
        <v>J</v>
      </c>
      <c r="S32" s="65">
        <f t="shared" si="2"/>
        <v>0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0.20833333333333337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0.20833333333333337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0.45833333333333337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0.16666666666666669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0.16666666666666669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0.20833333333333337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3.3333333333333339</v>
      </c>
      <c r="E36" s="39"/>
      <c r="F36" s="31"/>
      <c r="G36" s="37">
        <f>SUM(G5:G35)</f>
        <v>3.0208333333333339</v>
      </c>
      <c r="H36" s="40"/>
      <c r="I36" s="28"/>
      <c r="J36" s="38">
        <f>SUM(J5:J35)</f>
        <v>3.3333333333333339</v>
      </c>
      <c r="K36" s="39"/>
      <c r="L36" s="31"/>
      <c r="M36" s="38">
        <f>SUM(M5:M35)</f>
        <v>2.6875000000000004</v>
      </c>
      <c r="N36" s="39"/>
      <c r="O36" s="32"/>
      <c r="P36" s="38">
        <f>SUM(P5:P35)</f>
        <v>3.3333333333333339</v>
      </c>
      <c r="Q36" s="41"/>
      <c r="R36" s="29"/>
      <c r="S36" s="38">
        <f>SUM(S5:S35)</f>
        <v>1.6666666666666672</v>
      </c>
      <c r="T36" s="39"/>
      <c r="U36" s="32"/>
      <c r="V36" s="38">
        <f>SUM(V5:V35)</f>
        <v>3.3333333333333339</v>
      </c>
      <c r="W36" s="39"/>
      <c r="X36" s="32"/>
      <c r="Y36" s="38">
        <f>SUM(Y5:Y34)</f>
        <v>1.8750000000000004</v>
      </c>
      <c r="Z36" s="39"/>
      <c r="AA36" s="32"/>
      <c r="AB36" s="38">
        <f>SUM(AB5:AB35)</f>
        <v>3.166666666666667</v>
      </c>
      <c r="AC36" s="39"/>
      <c r="AD36" s="32"/>
      <c r="AE36" s="38">
        <f>SUM(AE7:AE34)</f>
        <v>3.2500000000000004</v>
      </c>
      <c r="AF36" s="39"/>
      <c r="AG36" s="31"/>
      <c r="AH36" s="38">
        <f>SUM(AH5:AH34)</f>
        <v>1.2083333333333335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30.208333333333336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0.3125</v>
      </c>
      <c r="E42" s="199" t="s">
        <v>13</v>
      </c>
      <c r="F42" s="200"/>
      <c r="G42" s="81">
        <v>0.72916666666666663</v>
      </c>
      <c r="H42" s="199" t="s">
        <v>14</v>
      </c>
      <c r="I42" s="200"/>
      <c r="J42" s="81">
        <v>8.3333333333333329E-2</v>
      </c>
      <c r="K42" s="199" t="s">
        <v>15</v>
      </c>
      <c r="L42" s="200"/>
      <c r="M42" s="81"/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0.77083333333333337</v>
      </c>
      <c r="E43" s="201"/>
      <c r="F43" s="202"/>
      <c r="G43" s="81">
        <v>0.9375</v>
      </c>
      <c r="H43" s="201"/>
      <c r="I43" s="202"/>
      <c r="J43" s="81">
        <v>0.20833333333333334</v>
      </c>
      <c r="K43" s="201"/>
      <c r="L43" s="202"/>
      <c r="M43" s="81"/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>
        <v>0.27083333333333331</v>
      </c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>
        <v>0.3125</v>
      </c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0.45833333333333337</v>
      </c>
      <c r="E46" s="203"/>
      <c r="F46" s="204"/>
      <c r="G46" s="82">
        <f>(G43-G42)+(G45-G44)</f>
        <v>0.20833333333333337</v>
      </c>
      <c r="H46" s="203"/>
      <c r="I46" s="204"/>
      <c r="J46" s="82">
        <f>(J43-J42)+(J45-J44)</f>
        <v>0.16666666666666669</v>
      </c>
      <c r="K46" s="203"/>
      <c r="L46" s="204"/>
      <c r="M46" s="82">
        <f>(M43-M42)+(M45-M44)</f>
        <v>0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30.208333333333336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0.83333333333333348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0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2.0833333333333357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-2.0833333333333357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1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0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2.0833333333333357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300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299" priority="42" stopIfTrue="1">
      <formula>IF(C5="S",TRUE,IF(C5="D",TRUE,FALSE))</formula>
    </cfRule>
  </conditionalFormatting>
  <conditionalFormatting sqref="AB49:AK49 AB53:AK53">
    <cfRule type="expression" dxfId="298" priority="41" stopIfTrue="1">
      <formula xml:space="preserve"> IF($G$38=100,IF($P$47&lt;$AI49,TRUE,FALSE),FALSE)</formula>
    </cfRule>
  </conditionalFormatting>
  <conditionalFormatting sqref="R34">
    <cfRule type="cellIs" dxfId="297" priority="39" stopIfTrue="1" operator="equal">
      <formula>"S"</formula>
    </cfRule>
    <cfRule type="cellIs" dxfId="296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295" priority="38" stopIfTrue="1">
      <formula>IF(C5="S",TRUE,IF(C5="D",TRUE,FALSE))</formula>
    </cfRule>
  </conditionalFormatting>
  <conditionalFormatting sqref="P47">
    <cfRule type="cellIs" dxfId="294" priority="36" stopIfTrue="1" operator="lessThan">
      <formula>1.33333333333333</formula>
    </cfRule>
    <cfRule type="cellIs" dxfId="293" priority="37" stopIfTrue="1" operator="greaterThan">
      <formula>1.83333333333333</formula>
    </cfRule>
  </conditionalFormatting>
  <conditionalFormatting sqref="E26:E27">
    <cfRule type="expression" dxfId="292" priority="35" stopIfTrue="1">
      <formula>IF(F26="S",TRUE, IF(F26="D", TRUE,FALSE))</formula>
    </cfRule>
  </conditionalFormatting>
  <conditionalFormatting sqref="E33:E34">
    <cfRule type="expression" dxfId="291" priority="34" stopIfTrue="1">
      <formula>IF(F33="S",TRUE, IF(F33="D", TRUE,FALSE))</formula>
    </cfRule>
  </conditionalFormatting>
  <conditionalFormatting sqref="H13">
    <cfRule type="expression" dxfId="290" priority="33" stopIfTrue="1">
      <formula>IF(I13="S",TRUE, IF(I13="D", TRUE,FALSE))</formula>
    </cfRule>
  </conditionalFormatting>
  <conditionalFormatting sqref="N8">
    <cfRule type="expression" dxfId="289" priority="32" stopIfTrue="1">
      <formula>IF(O8="S",TRUE, IF(O8="D", TRUE,FALSE))</formula>
    </cfRule>
  </conditionalFormatting>
  <conditionalFormatting sqref="K34:K35 K26:K28">
    <cfRule type="expression" dxfId="288" priority="31" stopIfTrue="1">
      <formula>IF(L26="S",TRUE, IF(L26="D", TRUE,FALSE))</formula>
    </cfRule>
  </conditionalFormatting>
  <conditionalFormatting sqref="T5:T8">
    <cfRule type="expression" dxfId="287" priority="30" stopIfTrue="1">
      <formula>IF(U5="S",TRUE, IF(U5="D", TRUE,FALSE))</formula>
    </cfRule>
  </conditionalFormatting>
  <conditionalFormatting sqref="Q26:Q30">
    <cfRule type="expression" dxfId="286" priority="29" stopIfTrue="1">
      <formula>IF(R26="S",TRUE, IF(R26="D", TRUE,FALSE))</formula>
    </cfRule>
  </conditionalFormatting>
  <conditionalFormatting sqref="Z20">
    <cfRule type="expression" dxfId="285" priority="28" stopIfTrue="1">
      <formula>IF(AA20="S",TRUE, IF(AA20="D", TRUE,FALSE))</formula>
    </cfRule>
  </conditionalFormatting>
  <conditionalFormatting sqref="W23">
    <cfRule type="expression" dxfId="284" priority="27" stopIfTrue="1">
      <formula>IF(X23="S",TRUE, IF(X23="D", TRUE,FALSE))</formula>
    </cfRule>
  </conditionalFormatting>
  <conditionalFormatting sqref="W29:W33">
    <cfRule type="expression" dxfId="283" priority="26" stopIfTrue="1">
      <formula>IF(X29="S",TRUE, IF(X29="D", TRUE,FALSE))</formula>
    </cfRule>
  </conditionalFormatting>
  <conditionalFormatting sqref="Z8 Z10">
    <cfRule type="expression" dxfId="282" priority="25" stopIfTrue="1">
      <formula>IF(AA8="S",TRUE, IF(AA8="D", TRUE,FALSE))</formula>
    </cfRule>
  </conditionalFormatting>
  <conditionalFormatting sqref="Z9">
    <cfRule type="expression" dxfId="281" priority="24" stopIfTrue="1">
      <formula>IF(AA9="S",TRUE, IF(AA9="D", TRUE,FALSE))</formula>
    </cfRule>
  </conditionalFormatting>
  <conditionalFormatting sqref="W10">
    <cfRule type="expression" dxfId="280" priority="23" stopIfTrue="1">
      <formula>IF(X10="S",TRUE, IF(X10="D", TRUE,FALSE))</formula>
    </cfRule>
  </conditionalFormatting>
  <conditionalFormatting sqref="AB29">
    <cfRule type="expression" dxfId="279" priority="22" stopIfTrue="1">
      <formula>IF(AA29="S",TRUE,IF(AA29="D",TRUE,FALSE))</formula>
    </cfRule>
  </conditionalFormatting>
  <conditionalFormatting sqref="Q33">
    <cfRule type="expression" dxfId="278" priority="21" stopIfTrue="1">
      <formula>IF(R33="S",TRUE, IF(R33="D", TRUE,FALSE))</formula>
    </cfRule>
  </conditionalFormatting>
  <conditionalFormatting sqref="T32">
    <cfRule type="expression" dxfId="277" priority="20" stopIfTrue="1">
      <formula>IF(U32="S",TRUE, IF(U32="D", TRUE,FALSE))</formula>
    </cfRule>
  </conditionalFormatting>
  <conditionalFormatting sqref="E23:E25">
    <cfRule type="expression" dxfId="276" priority="19" stopIfTrue="1">
      <formula>IF(F23="S",TRUE, IF(F23="D", TRUE,FALSE))</formula>
    </cfRule>
  </conditionalFormatting>
  <conditionalFormatting sqref="E28:E32">
    <cfRule type="expression" dxfId="275" priority="18" stopIfTrue="1">
      <formula>IF(F28="S",TRUE, IF(F28="D", TRUE,FALSE))</formula>
    </cfRule>
  </conditionalFormatting>
  <conditionalFormatting sqref="E35">
    <cfRule type="expression" dxfId="274" priority="17" stopIfTrue="1">
      <formula>IF(F35="S",TRUE, IF(F35="D", TRUE,FALSE))</formula>
    </cfRule>
  </conditionalFormatting>
  <conditionalFormatting sqref="G23:G25">
    <cfRule type="expression" dxfId="273" priority="16" stopIfTrue="1">
      <formula>IF(F23="S",TRUE,IF(F23="D",TRUE,FALSE))</formula>
    </cfRule>
  </conditionalFormatting>
  <conditionalFormatting sqref="G28:G32">
    <cfRule type="expression" dxfId="272" priority="15" stopIfTrue="1">
      <formula>IF(F28="S",TRUE,IF(F28="D",TRUE,FALSE))</formula>
    </cfRule>
  </conditionalFormatting>
  <conditionalFormatting sqref="G35">
    <cfRule type="expression" dxfId="271" priority="14" stopIfTrue="1">
      <formula>IF(F35="S",TRUE,IF(F35="D",TRUE,FALSE))</formula>
    </cfRule>
  </conditionalFormatting>
  <conditionalFormatting sqref="K30:K33">
    <cfRule type="expression" dxfId="270" priority="13" stopIfTrue="1">
      <formula>IF(L30="S",TRUE, IF(L30="D", TRUE,FALSE))</formula>
    </cfRule>
  </conditionalFormatting>
  <conditionalFormatting sqref="N6:N7">
    <cfRule type="expression" dxfId="269" priority="12" stopIfTrue="1">
      <formula>IF(O6="S",TRUE, IF(O6="D", TRUE,FALSE))</formula>
    </cfRule>
  </conditionalFormatting>
  <conditionalFormatting sqref="Q31:Q32">
    <cfRule type="expression" dxfId="268" priority="11" stopIfTrue="1">
      <formula>IF(R31="S",TRUE, IF(R31="D", TRUE,FALSE))</formula>
    </cfRule>
  </conditionalFormatting>
  <conditionalFormatting sqref="H5:H7">
    <cfRule type="expression" dxfId="267" priority="10" stopIfTrue="1">
      <formula>IF(I5="S",TRUE, IF(I5="D", TRUE,FALSE))</formula>
    </cfRule>
  </conditionalFormatting>
  <conditionalFormatting sqref="H15">
    <cfRule type="expression" dxfId="266" priority="9" stopIfTrue="1">
      <formula>IF(I15="S",TRUE, IF(I15="D", TRUE,FALSE))</formula>
    </cfRule>
  </conditionalFormatting>
  <conditionalFormatting sqref="T10:T12">
    <cfRule type="expression" dxfId="265" priority="8" stopIfTrue="1">
      <formula>IF(U10="S",TRUE, IF(U10="D", TRUE,FALSE))</formula>
    </cfRule>
  </conditionalFormatting>
  <conditionalFormatting sqref="W21">
    <cfRule type="expression" dxfId="264" priority="7" stopIfTrue="1">
      <formula>IF(X21="S",TRUE, IF(X21="D", TRUE,FALSE))</formula>
    </cfRule>
  </conditionalFormatting>
  <conditionalFormatting sqref="Z5:Z7">
    <cfRule type="expression" dxfId="263" priority="6" stopIfTrue="1">
      <formula>IF(AA5="S",TRUE, IF(AA5="D", TRUE,FALSE))</formula>
    </cfRule>
  </conditionalFormatting>
  <conditionalFormatting sqref="Z12:Z15">
    <cfRule type="expression" dxfId="262" priority="5" stopIfTrue="1">
      <formula>IF(AA12="S",TRUE, IF(AA12="D", TRUE,FALSE))</formula>
    </cfRule>
  </conditionalFormatting>
  <conditionalFormatting sqref="Z29">
    <cfRule type="expression" dxfId="261" priority="4" stopIfTrue="1">
      <formula>IF(AA29="S",TRUE, IF(AA29="D", TRUE,FALSE))</formula>
    </cfRule>
  </conditionalFormatting>
  <conditionalFormatting sqref="AB54:AK54">
    <cfRule type="expression" dxfId="260" priority="3" stopIfTrue="1">
      <formula>IF($P$47&gt;#REF!,TRUE,FALSE)</formula>
    </cfRule>
  </conditionalFormatting>
  <conditionalFormatting sqref="T9">
    <cfRule type="expression" dxfId="259" priority="2" stopIfTrue="1">
      <formula>IF(U9="S",TRUE, IF(U9="D", TRUE,FALSE))</formula>
    </cfRule>
  </conditionalFormatting>
  <conditionalFormatting sqref="Z11">
    <cfRule type="expression" dxfId="258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2161" r:id="rId4" name="ComboBox1"/>
  </controls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34">
    <tabColor rgb="FFFF0000"/>
    <pageSetUpPr fitToPage="1"/>
  </sheetPr>
  <dimension ref="B1:BA74"/>
  <sheetViews>
    <sheetView showGridLines="0" zoomScaleNormal="115" workbookViewId="0">
      <selection activeCell="L3" sqref="L3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0.375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0.375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0.45833333333333337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0.375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</v>
      </c>
      <c r="E7" s="33">
        <v>3</v>
      </c>
      <c r="F7" s="87" t="str">
        <f>CHOOSE(WEEKDAY(Calendrier!C7,2),"L","Ma","Me","J","V","S","D")</f>
        <v>Me</v>
      </c>
      <c r="G7" s="65">
        <f t="shared" si="0"/>
        <v>4.1666666666666685E-2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4.1666666666666685E-2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</v>
      </c>
      <c r="AF7" s="33">
        <v>3</v>
      </c>
      <c r="AG7" s="87" t="str">
        <f>CHOOSE(WEEKDAY(Calendrier!L7,2),"L","Ma","Me","J","V","S","D")</f>
        <v>Me</v>
      </c>
      <c r="AH7" s="65">
        <f t="shared" si="6"/>
        <v>4.1666666666666685E-2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0.375</v>
      </c>
      <c r="E8" s="33">
        <v>4</v>
      </c>
      <c r="F8" s="87" t="str">
        <f>CHOOSE(WEEKDAY(Calendrier!C8,2),"L","Ma","Me","J","V","S","D")</f>
        <v>J</v>
      </c>
      <c r="G8" s="65">
        <f t="shared" si="0"/>
        <v>0.45833333333333337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0.375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</v>
      </c>
      <c r="T8" s="33">
        <v>4</v>
      </c>
      <c r="U8" s="87" t="str">
        <f>CHOOSE(WEEKDAY(Calendrier!H8,2),"L","Ma","Me","J","V","S","D")</f>
        <v>L</v>
      </c>
      <c r="V8" s="100">
        <f t="shared" si="3"/>
        <v>0</v>
      </c>
      <c r="W8" s="33">
        <v>4</v>
      </c>
      <c r="X8" s="87" t="str">
        <f>CHOOSE(WEEKDAY(Calendrier!I8,2),"L","Ma","Me","J","V","S","D")</f>
        <v>J</v>
      </c>
      <c r="Y8" s="65">
        <f t="shared" si="4"/>
        <v>0.45833333333333337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0.375</v>
      </c>
      <c r="AF8" s="33">
        <v>4</v>
      </c>
      <c r="AG8" s="87" t="str">
        <f>CHOOSE(WEEKDAY(Calendrier!L8,2),"L","Ma","Me","J","V","S","D")</f>
        <v>J</v>
      </c>
      <c r="AH8" s="65">
        <f t="shared" si="6"/>
        <v>0.45833333333333337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4.1666666666666685E-2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</v>
      </c>
      <c r="K9" s="33">
        <v>5</v>
      </c>
      <c r="L9" s="87" t="str">
        <f>CHOOSE(WEEKDAY(Calendrier!E9,2),"L","Ma","Me","J","V","S","D")</f>
        <v>Me</v>
      </c>
      <c r="M9" s="65">
        <f t="shared" si="1"/>
        <v>4.1666666666666685E-2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0.375</v>
      </c>
      <c r="T9" s="33">
        <v>5</v>
      </c>
      <c r="U9" s="87" t="str">
        <f>CHOOSE(WEEKDAY(Calendrier!H9,2),"L","Ma","Me","J","V","S","D")</f>
        <v>Ma</v>
      </c>
      <c r="V9" s="100">
        <f t="shared" si="3"/>
        <v>0.375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4.1666666666666685E-2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0.45833333333333337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0.375</v>
      </c>
      <c r="K10" s="33">
        <v>6</v>
      </c>
      <c r="L10" s="87" t="str">
        <f>CHOOSE(WEEKDAY(Calendrier!E10,2),"L","Ma","Me","J","V","S","D")</f>
        <v>J</v>
      </c>
      <c r="M10" s="65">
        <f t="shared" si="1"/>
        <v>0.45833333333333337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4.1666666666666685E-2</v>
      </c>
      <c r="T10" s="33">
        <v>6</v>
      </c>
      <c r="U10" s="87" t="str">
        <f>CHOOSE(WEEKDAY(Calendrier!H10,2),"L","Ma","Me","J","V","S","D")</f>
        <v>Me</v>
      </c>
      <c r="V10" s="65">
        <f t="shared" si="3"/>
        <v>4.1666666666666685E-2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0.45833333333333337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4.1666666666666685E-2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</v>
      </c>
      <c r="Q11" s="33">
        <v>7</v>
      </c>
      <c r="R11" s="87" t="str">
        <f>CHOOSE(WEEKDAY(Calendrier!G11,2),"L","Ma","Me","J","V","S","D")</f>
        <v>J</v>
      </c>
      <c r="S11" s="65">
        <f t="shared" si="2"/>
        <v>0.45833333333333337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0.45833333333333337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0.375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</v>
      </c>
      <c r="H12" s="33">
        <v>8</v>
      </c>
      <c r="I12" s="87" t="str">
        <f>CHOOSE(WEEKDAY(Calendrier!D12,2),"L","Ma","Me","J","V","S","D")</f>
        <v>J</v>
      </c>
      <c r="J12" s="65">
        <f t="shared" si="11"/>
        <v>0.45833333333333337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0.375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v>0.70833333333333337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4.1666666666666685E-2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0.45833333333333337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</v>
      </c>
      <c r="E14" s="33">
        <v>10</v>
      </c>
      <c r="F14" s="87" t="str">
        <f>CHOOSE(WEEKDAY(Calendrier!C14,2),"L","Ma","Me","J","V","S","D")</f>
        <v>Me</v>
      </c>
      <c r="G14" s="65">
        <f t="shared" si="0"/>
        <v>4.1666666666666685E-2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0.45833333333333337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0.375</v>
      </c>
      <c r="E15" s="33">
        <v>11</v>
      </c>
      <c r="F15" s="87" t="str">
        <f>CHOOSE(WEEKDAY(Calendrier!C15,2),"L","Ma","Me","J","V","S","D")</f>
        <v>J</v>
      </c>
      <c r="G15" s="65">
        <f t="shared" si="0"/>
        <v>0.45833333333333337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0.375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0.375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4.1666666666666685E-2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</v>
      </c>
      <c r="K16" s="33">
        <v>12</v>
      </c>
      <c r="L16" s="87" t="str">
        <f>CHOOSE(WEEKDAY(Calendrier!E16,2),"L","Ma","Me","J","V","S","D")</f>
        <v>Me</v>
      </c>
      <c r="M16" s="65">
        <f t="shared" si="1"/>
        <v>4.1666666666666685E-2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0.375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4.1666666666666685E-2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0.45833333333333337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0.375</v>
      </c>
      <c r="K17" s="33">
        <v>13</v>
      </c>
      <c r="L17" s="87" t="str">
        <f>CHOOSE(WEEKDAY(Calendrier!E17,2),"L","Ma","Me","J","V","S","D")</f>
        <v>J</v>
      </c>
      <c r="M17" s="65">
        <f t="shared" si="1"/>
        <v>0.45833333333333337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4.1666666666666685E-2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0.45833333333333337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4.1666666666666685E-2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0.45833333333333337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0.375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0.45833333333333337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0.375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4.1666666666666685E-2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0.375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4.1666666666666685E-2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0.45833333333333337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</v>
      </c>
      <c r="E21" s="33">
        <v>17</v>
      </c>
      <c r="F21" s="87" t="str">
        <f>CHOOSE(WEEKDAY(Calendrier!C21,2),"L","Ma","Me","J","V","S","D")</f>
        <v>Me</v>
      </c>
      <c r="G21" s="65">
        <f t="shared" si="0"/>
        <v>4.1666666666666685E-2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0.45833333333333337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0.375</v>
      </c>
      <c r="E22" s="33">
        <v>18</v>
      </c>
      <c r="F22" s="87" t="str">
        <f>CHOOSE(WEEKDAY(Calendrier!C22,2),"L","Ma","Me","J","V","S","D")</f>
        <v>J</v>
      </c>
      <c r="G22" s="65">
        <f t="shared" si="0"/>
        <v>0.45833333333333337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0.375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0.375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4.1666666666666685E-2</v>
      </c>
      <c r="E23" s="33">
        <v>19</v>
      </c>
      <c r="F23" s="87" t="str">
        <f>CHOOSE(WEEKDAY(Calendrier!C23,2),"L","Ma","Me","J","V","S","D")</f>
        <v>V</v>
      </c>
      <c r="G23" s="65">
        <f t="shared" si="0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</v>
      </c>
      <c r="K23" s="33">
        <v>19</v>
      </c>
      <c r="L23" s="87" t="str">
        <f>CHOOSE(WEEKDAY(Calendrier!E23,2),"L","Ma","Me","J","V","S","D")</f>
        <v>Me</v>
      </c>
      <c r="M23" s="65">
        <f t="shared" si="1"/>
        <v>4.1666666666666685E-2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0.375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4.1666666666666685E-2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v>0.83333333333333337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0.375</v>
      </c>
      <c r="K24" s="33">
        <v>20</v>
      </c>
      <c r="L24" s="87" t="str">
        <f>CHOOSE(WEEKDAY(Calendrier!E24,2),"L","Ma","Me","J","V","S","D")</f>
        <v>J</v>
      </c>
      <c r="M24" s="65">
        <f t="shared" si="1"/>
        <v>0.45833333333333337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4.1666666666666685E-2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0.45833333333333337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4.1666666666666685E-2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0.45833333333333337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0.375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0.45833333333333337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0.375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4.1666666666666685E-2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4.1666666666666685E-2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0.375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0.45833333333333337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0.45833333333333337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4.1666666666666685E-2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0.375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</v>
      </c>
      <c r="T29" s="33">
        <v>25</v>
      </c>
      <c r="U29" s="87" t="str">
        <f>CHOOSE(WEEKDAY(Calendrier!H29,2),"L","Ma","Me","J","V","S","D")</f>
        <v>L</v>
      </c>
      <c r="V29" s="100">
        <f t="shared" si="3"/>
        <v>0</v>
      </c>
      <c r="W29" s="33">
        <v>25</v>
      </c>
      <c r="X29" s="87" t="str">
        <f>CHOOSE(WEEKDAY(Calendrier!I29,2),"L","Ma","Me","J","V","S","D")</f>
        <v>J</v>
      </c>
      <c r="Y29" s="65">
        <f t="shared" si="4"/>
        <v>0.45833333333333337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0.375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4.1666666666666685E-2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0.375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0.375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4.1666666666666685E-2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0.45833333333333337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0.375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4.1666666666666685E-2</v>
      </c>
      <c r="T31" s="33">
        <v>27</v>
      </c>
      <c r="U31" s="87" t="str">
        <f>CHOOSE(WEEKDAY(Calendrier!H31,2),"L","Ma","Me","J","V","S","D")</f>
        <v>Me</v>
      </c>
      <c r="V31" s="65">
        <f t="shared" si="3"/>
        <v>4.1666666666666685E-2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0.45833333333333337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4.1666666666666685E-2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</v>
      </c>
      <c r="Q32" s="33">
        <v>28</v>
      </c>
      <c r="R32" s="87" t="str">
        <f>CHOOSE(WEEKDAY(Calendrier!G32,2),"L","Ma","Me","J","V","S","D")</f>
        <v>J</v>
      </c>
      <c r="S32" s="65">
        <f t="shared" si="2"/>
        <v>0.45833333333333337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0.45833333333333337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0.375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0.45833333333333337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0.375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4.1666666666666685E-2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4.1666666666666685E-2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0.375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0.45833333333333337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3.875</v>
      </c>
      <c r="E36" s="39"/>
      <c r="F36" s="31"/>
      <c r="G36" s="37">
        <f>SUM(G5:G35)</f>
        <v>3.2083333333333335</v>
      </c>
      <c r="H36" s="40"/>
      <c r="I36" s="28"/>
      <c r="J36" s="38">
        <f>SUM(J5:J35)</f>
        <v>3.5</v>
      </c>
      <c r="K36" s="39"/>
      <c r="L36" s="31"/>
      <c r="M36" s="38">
        <f>SUM(M5:M35)</f>
        <v>2.625</v>
      </c>
      <c r="N36" s="39"/>
      <c r="O36" s="32"/>
      <c r="P36" s="38">
        <f>SUM(P5:P35)</f>
        <v>3.5</v>
      </c>
      <c r="Q36" s="41"/>
      <c r="R36" s="29"/>
      <c r="S36" s="38">
        <f>SUM(S5:S35)</f>
        <v>1.75</v>
      </c>
      <c r="T36" s="39"/>
      <c r="U36" s="32"/>
      <c r="V36" s="38">
        <f>SUM(V5:V35)</f>
        <v>3.5</v>
      </c>
      <c r="W36" s="39"/>
      <c r="X36" s="32"/>
      <c r="Y36" s="38">
        <f>SUM(Y5:Y34)</f>
        <v>2.125</v>
      </c>
      <c r="Z36" s="39"/>
      <c r="AA36" s="32"/>
      <c r="AB36" s="38">
        <f>SUM(AB5:AB35)</f>
        <v>3.4583333333333335</v>
      </c>
      <c r="AC36" s="39"/>
      <c r="AD36" s="32"/>
      <c r="AE36" s="38">
        <f>SUM(AE7:AE34)</f>
        <v>3.875</v>
      </c>
      <c r="AF36" s="39"/>
      <c r="AG36" s="31"/>
      <c r="AH36" s="38">
        <f>SUM(AH5:AH34)</f>
        <v>1.25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32.666666666666671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/>
      <c r="E42" s="199" t="s">
        <v>13</v>
      </c>
      <c r="F42" s="200"/>
      <c r="G42" s="81">
        <v>0.6875</v>
      </c>
      <c r="H42" s="199" t="s">
        <v>14</v>
      </c>
      <c r="I42" s="200"/>
      <c r="J42" s="81">
        <v>0.27083333333333331</v>
      </c>
      <c r="K42" s="199" t="s">
        <v>15</v>
      </c>
      <c r="L42" s="200"/>
      <c r="M42" s="81">
        <v>0.3125</v>
      </c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/>
      <c r="E43" s="201"/>
      <c r="F43" s="202"/>
      <c r="G43" s="81">
        <v>0.9375</v>
      </c>
      <c r="H43" s="201"/>
      <c r="I43" s="202"/>
      <c r="J43" s="81">
        <v>0.3125</v>
      </c>
      <c r="K43" s="201"/>
      <c r="L43" s="202"/>
      <c r="M43" s="81">
        <v>0.77083333333333337</v>
      </c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8.3333333333333329E-2</v>
      </c>
      <c r="H44" s="201"/>
      <c r="I44" s="202"/>
      <c r="J44" s="81"/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0.20833333333333334</v>
      </c>
      <c r="H45" s="201"/>
      <c r="I45" s="202"/>
      <c r="J45" s="81"/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</v>
      </c>
      <c r="E46" s="203"/>
      <c r="F46" s="204"/>
      <c r="G46" s="82">
        <f>(G43-G42)+(G45-G44)</f>
        <v>0.375</v>
      </c>
      <c r="H46" s="203"/>
      <c r="I46" s="204"/>
      <c r="J46" s="82">
        <f>(J43-J42)+(J45-J44)</f>
        <v>4.1666666666666685E-2</v>
      </c>
      <c r="K46" s="203"/>
      <c r="L46" s="204"/>
      <c r="M46" s="82">
        <f>(M43-M42)+(M45-M44)</f>
        <v>0.45833333333333337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32.666666666666671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0.875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-0.375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0.375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1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-0.375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257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256" priority="42" stopIfTrue="1">
      <formula>IF(C5="S",TRUE,IF(C5="D",TRUE,FALSE))</formula>
    </cfRule>
  </conditionalFormatting>
  <conditionalFormatting sqref="AB49:AK49 AB53:AK53">
    <cfRule type="expression" dxfId="255" priority="41" stopIfTrue="1">
      <formula xml:space="preserve"> IF($G$38=100,IF($P$47&lt;$AI49,TRUE,FALSE),FALSE)</formula>
    </cfRule>
  </conditionalFormatting>
  <conditionalFormatting sqref="R34">
    <cfRule type="cellIs" dxfId="254" priority="39" stopIfTrue="1" operator="equal">
      <formula>"S"</formula>
    </cfRule>
    <cfRule type="cellIs" dxfId="253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252" priority="38" stopIfTrue="1">
      <formula>IF(C5="S",TRUE,IF(C5="D",TRUE,FALSE))</formula>
    </cfRule>
  </conditionalFormatting>
  <conditionalFormatting sqref="P47">
    <cfRule type="cellIs" dxfId="251" priority="36" stopIfTrue="1" operator="lessThan">
      <formula>1.33333333333333</formula>
    </cfRule>
    <cfRule type="cellIs" dxfId="250" priority="37" stopIfTrue="1" operator="greaterThan">
      <formula>1.83333333333333</formula>
    </cfRule>
  </conditionalFormatting>
  <conditionalFormatting sqref="E26:E27">
    <cfRule type="expression" dxfId="249" priority="35" stopIfTrue="1">
      <formula>IF(F26="S",TRUE, IF(F26="D", TRUE,FALSE))</formula>
    </cfRule>
  </conditionalFormatting>
  <conditionalFormatting sqref="E33:E34">
    <cfRule type="expression" dxfId="248" priority="34" stopIfTrue="1">
      <formula>IF(F33="S",TRUE, IF(F33="D", TRUE,FALSE))</formula>
    </cfRule>
  </conditionalFormatting>
  <conditionalFormatting sqref="H13">
    <cfRule type="expression" dxfId="247" priority="33" stopIfTrue="1">
      <formula>IF(I13="S",TRUE, IF(I13="D", TRUE,FALSE))</formula>
    </cfRule>
  </conditionalFormatting>
  <conditionalFormatting sqref="N8">
    <cfRule type="expression" dxfId="246" priority="32" stopIfTrue="1">
      <formula>IF(O8="S",TRUE, IF(O8="D", TRUE,FALSE))</formula>
    </cfRule>
  </conditionalFormatting>
  <conditionalFormatting sqref="K34:K35 K26:K28">
    <cfRule type="expression" dxfId="245" priority="31" stopIfTrue="1">
      <formula>IF(L26="S",TRUE, IF(L26="D", TRUE,FALSE))</formula>
    </cfRule>
  </conditionalFormatting>
  <conditionalFormatting sqref="T5:T8">
    <cfRule type="expression" dxfId="244" priority="30" stopIfTrue="1">
      <formula>IF(U5="S",TRUE, IF(U5="D", TRUE,FALSE))</formula>
    </cfRule>
  </conditionalFormatting>
  <conditionalFormatting sqref="Q26:Q30">
    <cfRule type="expression" dxfId="243" priority="29" stopIfTrue="1">
      <formula>IF(R26="S",TRUE, IF(R26="D", TRUE,FALSE))</formula>
    </cfRule>
  </conditionalFormatting>
  <conditionalFormatting sqref="Z20">
    <cfRule type="expression" dxfId="242" priority="28" stopIfTrue="1">
      <formula>IF(AA20="S",TRUE, IF(AA20="D", TRUE,FALSE))</formula>
    </cfRule>
  </conditionalFormatting>
  <conditionalFormatting sqref="W23">
    <cfRule type="expression" dxfId="241" priority="27" stopIfTrue="1">
      <formula>IF(X23="S",TRUE, IF(X23="D", TRUE,FALSE))</formula>
    </cfRule>
  </conditionalFormatting>
  <conditionalFormatting sqref="W29:W33">
    <cfRule type="expression" dxfId="240" priority="26" stopIfTrue="1">
      <formula>IF(X29="S",TRUE, IF(X29="D", TRUE,FALSE))</formula>
    </cfRule>
  </conditionalFormatting>
  <conditionalFormatting sqref="Z8 Z10">
    <cfRule type="expression" dxfId="239" priority="25" stopIfTrue="1">
      <formula>IF(AA8="S",TRUE, IF(AA8="D", TRUE,FALSE))</formula>
    </cfRule>
  </conditionalFormatting>
  <conditionalFormatting sqref="Z9">
    <cfRule type="expression" dxfId="238" priority="24" stopIfTrue="1">
      <formula>IF(AA9="S",TRUE, IF(AA9="D", TRUE,FALSE))</formula>
    </cfRule>
  </conditionalFormatting>
  <conditionalFormatting sqref="W10">
    <cfRule type="expression" dxfId="237" priority="23" stopIfTrue="1">
      <formula>IF(X10="S",TRUE, IF(X10="D", TRUE,FALSE))</formula>
    </cfRule>
  </conditionalFormatting>
  <conditionalFormatting sqref="AB29">
    <cfRule type="expression" dxfId="236" priority="22" stopIfTrue="1">
      <formula>IF(AA29="S",TRUE,IF(AA29="D",TRUE,FALSE))</formula>
    </cfRule>
  </conditionalFormatting>
  <conditionalFormatting sqref="Q33">
    <cfRule type="expression" dxfId="235" priority="21" stopIfTrue="1">
      <formula>IF(R33="S",TRUE, IF(R33="D", TRUE,FALSE))</formula>
    </cfRule>
  </conditionalFormatting>
  <conditionalFormatting sqref="T32">
    <cfRule type="expression" dxfId="234" priority="20" stopIfTrue="1">
      <formula>IF(U32="S",TRUE, IF(U32="D", TRUE,FALSE))</formula>
    </cfRule>
  </conditionalFormatting>
  <conditionalFormatting sqref="E23:E25">
    <cfRule type="expression" dxfId="233" priority="19" stopIfTrue="1">
      <formula>IF(F23="S",TRUE, IF(F23="D", TRUE,FALSE))</formula>
    </cfRule>
  </conditionalFormatting>
  <conditionalFormatting sqref="E28:E32">
    <cfRule type="expression" dxfId="232" priority="18" stopIfTrue="1">
      <formula>IF(F28="S",TRUE, IF(F28="D", TRUE,FALSE))</formula>
    </cfRule>
  </conditionalFormatting>
  <conditionalFormatting sqref="E35">
    <cfRule type="expression" dxfId="231" priority="17" stopIfTrue="1">
      <formula>IF(F35="S",TRUE, IF(F35="D", TRUE,FALSE))</formula>
    </cfRule>
  </conditionalFormatting>
  <conditionalFormatting sqref="G23:G25">
    <cfRule type="expression" dxfId="230" priority="16" stopIfTrue="1">
      <formula>IF(F23="S",TRUE,IF(F23="D",TRUE,FALSE))</formula>
    </cfRule>
  </conditionalFormatting>
  <conditionalFormatting sqref="G28:G32">
    <cfRule type="expression" dxfId="229" priority="15" stopIfTrue="1">
      <formula>IF(F28="S",TRUE,IF(F28="D",TRUE,FALSE))</formula>
    </cfRule>
  </conditionalFormatting>
  <conditionalFormatting sqref="G35">
    <cfRule type="expression" dxfId="228" priority="14" stopIfTrue="1">
      <formula>IF(F35="S",TRUE,IF(F35="D",TRUE,FALSE))</formula>
    </cfRule>
  </conditionalFormatting>
  <conditionalFormatting sqref="K30:K33">
    <cfRule type="expression" dxfId="227" priority="13" stopIfTrue="1">
      <formula>IF(L30="S",TRUE, IF(L30="D", TRUE,FALSE))</formula>
    </cfRule>
  </conditionalFormatting>
  <conditionalFormatting sqref="N6:N7">
    <cfRule type="expression" dxfId="226" priority="12" stopIfTrue="1">
      <formula>IF(O6="S",TRUE, IF(O6="D", TRUE,FALSE))</formula>
    </cfRule>
  </conditionalFormatting>
  <conditionalFormatting sqref="Q31:Q32">
    <cfRule type="expression" dxfId="225" priority="11" stopIfTrue="1">
      <formula>IF(R31="S",TRUE, IF(R31="D", TRUE,FALSE))</formula>
    </cfRule>
  </conditionalFormatting>
  <conditionalFormatting sqref="H5:H7">
    <cfRule type="expression" dxfId="224" priority="10" stopIfTrue="1">
      <formula>IF(I5="S",TRUE, IF(I5="D", TRUE,FALSE))</formula>
    </cfRule>
  </conditionalFormatting>
  <conditionalFormatting sqref="H15">
    <cfRule type="expression" dxfId="223" priority="9" stopIfTrue="1">
      <formula>IF(I15="S",TRUE, IF(I15="D", TRUE,FALSE))</formula>
    </cfRule>
  </conditionalFormatting>
  <conditionalFormatting sqref="T10:T12">
    <cfRule type="expression" dxfId="222" priority="8" stopIfTrue="1">
      <formula>IF(U10="S",TRUE, IF(U10="D", TRUE,FALSE))</formula>
    </cfRule>
  </conditionalFormatting>
  <conditionalFormatting sqref="W21">
    <cfRule type="expression" dxfId="221" priority="7" stopIfTrue="1">
      <formula>IF(X21="S",TRUE, IF(X21="D", TRUE,FALSE))</formula>
    </cfRule>
  </conditionalFormatting>
  <conditionalFormatting sqref="Z5:Z7">
    <cfRule type="expression" dxfId="220" priority="6" stopIfTrue="1">
      <formula>IF(AA5="S",TRUE, IF(AA5="D", TRUE,FALSE))</formula>
    </cfRule>
  </conditionalFormatting>
  <conditionalFormatting sqref="Z12:Z15">
    <cfRule type="expression" dxfId="219" priority="5" stopIfTrue="1">
      <formula>IF(AA12="S",TRUE, IF(AA12="D", TRUE,FALSE))</formula>
    </cfRule>
  </conditionalFormatting>
  <conditionalFormatting sqref="Z29">
    <cfRule type="expression" dxfId="218" priority="4" stopIfTrue="1">
      <formula>IF(AA29="S",TRUE, IF(AA29="D", TRUE,FALSE))</formula>
    </cfRule>
  </conditionalFormatting>
  <conditionalFormatting sqref="AB54:AK54">
    <cfRule type="expression" dxfId="217" priority="3" stopIfTrue="1">
      <formula>IF($P$47&gt;#REF!,TRUE,FALSE)</formula>
    </cfRule>
  </conditionalFormatting>
  <conditionalFormatting sqref="T9">
    <cfRule type="expression" dxfId="216" priority="2" stopIfTrue="1">
      <formula>IF(U9="S",TRUE, IF(U9="D", TRUE,FALSE))</formula>
    </cfRule>
  </conditionalFormatting>
  <conditionalFormatting sqref="Z11">
    <cfRule type="expression" dxfId="215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91137" r:id="rId4" name="ComboBox1"/>
  </controls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9">
    <tabColor rgb="FFFF0000"/>
    <pageSetUpPr fitToPage="1"/>
  </sheetPr>
  <dimension ref="B1:BA74"/>
  <sheetViews>
    <sheetView showGridLines="0" zoomScaleNormal="115" workbookViewId="0">
      <selection activeCell="S39" sqref="S39:X41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0.46875000000000006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0.46875000000000006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0.46875000000000006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0.19791666666666669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0.46875000000000006</v>
      </c>
      <c r="E7" s="33">
        <v>3</v>
      </c>
      <c r="F7" s="87" t="str">
        <f>CHOOSE(WEEKDAY(Calendrier!C7,2),"L","Ma","Me","J","V","S","D")</f>
        <v>Me</v>
      </c>
      <c r="G7" s="65">
        <f t="shared" si="0"/>
        <v>0.20833333333333337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0.46875000000000006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0.20833333333333337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0.46875000000000006</v>
      </c>
      <c r="AF7" s="33">
        <v>3</v>
      </c>
      <c r="AG7" s="87" t="str">
        <f>CHOOSE(WEEKDAY(Calendrier!L7,2),"L","Ma","Me","J","V","S","D")</f>
        <v>Me</v>
      </c>
      <c r="AH7" s="65">
        <f t="shared" si="6"/>
        <v>0.20833333333333337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</v>
      </c>
      <c r="E8" s="33">
        <v>4</v>
      </c>
      <c r="F8" s="87" t="str">
        <f>CHOOSE(WEEKDAY(Calendrier!C8,2),"L","Ma","Me","J","V","S","D")</f>
        <v>J</v>
      </c>
      <c r="G8" s="65">
        <f t="shared" si="0"/>
        <v>0.19791666666666669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0.46875000000000006</v>
      </c>
      <c r="T8" s="33">
        <v>4</v>
      </c>
      <c r="U8" s="87" t="str">
        <f>CHOOSE(WEEKDAY(Calendrier!H8,2),"L","Ma","Me","J","V","S","D")</f>
        <v>L</v>
      </c>
      <c r="V8" s="100">
        <f t="shared" si="3"/>
        <v>0.46875000000000006</v>
      </c>
      <c r="W8" s="33">
        <v>4</v>
      </c>
      <c r="X8" s="87" t="str">
        <f>CHOOSE(WEEKDAY(Calendrier!I8,2),"L","Ma","Me","J","V","S","D")</f>
        <v>J</v>
      </c>
      <c r="Y8" s="65">
        <f t="shared" si="4"/>
        <v>0.19791666666666669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</v>
      </c>
      <c r="AF8" s="33">
        <v>4</v>
      </c>
      <c r="AG8" s="87" t="str">
        <f>CHOOSE(WEEKDAY(Calendrier!L8,2),"L","Ma","Me","J","V","S","D")</f>
        <v>J</v>
      </c>
      <c r="AH8" s="65">
        <f t="shared" si="6"/>
        <v>0.19791666666666669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0.20833333333333337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0.46875000000000006</v>
      </c>
      <c r="K9" s="33">
        <v>5</v>
      </c>
      <c r="L9" s="87" t="str">
        <f>CHOOSE(WEEKDAY(Calendrier!E9,2),"L","Ma","Me","J","V","S","D")</f>
        <v>Me</v>
      </c>
      <c r="M9" s="65">
        <f t="shared" si="1"/>
        <v>0.20833333333333337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</v>
      </c>
      <c r="T9" s="33">
        <v>5</v>
      </c>
      <c r="U9" s="87" t="str">
        <f>CHOOSE(WEEKDAY(Calendrier!H9,2),"L","Ma","Me","J","V","S","D")</f>
        <v>Ma</v>
      </c>
      <c r="V9" s="100">
        <f t="shared" si="3"/>
        <v>0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0.20833333333333337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0.19791666666666669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</v>
      </c>
      <c r="K10" s="33">
        <v>6</v>
      </c>
      <c r="L10" s="87" t="str">
        <f>CHOOSE(WEEKDAY(Calendrier!E10,2),"L","Ma","Me","J","V","S","D")</f>
        <v>J</v>
      </c>
      <c r="M10" s="65">
        <f t="shared" si="1"/>
        <v>0.19791666666666669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0.20833333333333337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0.20833333333333337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0.46875000000000006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0.19791666666666669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0.20833333333333337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0.46875000000000006</v>
      </c>
      <c r="Q11" s="33">
        <v>7</v>
      </c>
      <c r="R11" s="87" t="str">
        <f>CHOOSE(WEEKDAY(Calendrier!G11,2),"L","Ma","Me","J","V","S","D")</f>
        <v>J</v>
      </c>
      <c r="S11" s="65">
        <f t="shared" si="2"/>
        <v>0.19791666666666669</v>
      </c>
      <c r="T11" s="33">
        <v>7</v>
      </c>
      <c r="U11" s="87" t="str">
        <f>CHOOSE(WEEKDAY(Calendrier!H11,2),"L","Ma","Me","J","V","S","D")</f>
        <v>J</v>
      </c>
      <c r="V11" s="65">
        <f t="shared" si="3"/>
        <v>0.19791666666666669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0.46875000000000006</v>
      </c>
      <c r="H12" s="33">
        <v>8</v>
      </c>
      <c r="I12" s="87" t="str">
        <f>CHOOSE(WEEKDAY(Calendrier!D12,2),"L","Ma","Me","J","V","S","D")</f>
        <v>J</v>
      </c>
      <c r="J12" s="65">
        <f t="shared" si="11"/>
        <v>0.19791666666666669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0.20833333333333337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0.19791666666666669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0.46875000000000006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0.20833333333333337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0.46875000000000006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0.19791666666666669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</v>
      </c>
      <c r="E15" s="33">
        <v>11</v>
      </c>
      <c r="F15" s="87" t="str">
        <f>CHOOSE(WEEKDAY(Calendrier!C15,2),"L","Ma","Me","J","V","S","D")</f>
        <v>J</v>
      </c>
      <c r="G15" s="65">
        <f t="shared" si="0"/>
        <v>0.19791666666666669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0.46875000000000006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0.20833333333333337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0.46875000000000006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0.20833333333333337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0.20833333333333337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0.19791666666666669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</v>
      </c>
      <c r="K17" s="33">
        <v>13</v>
      </c>
      <c r="L17" s="87" t="str">
        <f>CHOOSE(WEEKDAY(Calendrier!E17,2),"L","Ma","Me","J","V","S","D")</f>
        <v>J</v>
      </c>
      <c r="M17" s="65">
        <f t="shared" si="1"/>
        <v>0.19791666666666669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0.20833333333333337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0.46875000000000006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0.19791666666666669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0.20833333333333337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0.46875000000000006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0.19791666666666669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0.46875000000000006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0.19791666666666669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0.20833333333333337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0.20833333333333337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0.19791666666666669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0.46875000000000006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0.20833333333333337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0.46875000000000006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0.19791666666666669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0.46875000000000006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</v>
      </c>
      <c r="E22" s="33">
        <v>18</v>
      </c>
      <c r="F22" s="87" t="str">
        <f>CHOOSE(WEEKDAY(Calendrier!C22,2),"L","Ma","Me","J","V","S","D")</f>
        <v>J</v>
      </c>
      <c r="G22" s="65">
        <f t="shared" si="0"/>
        <v>0.19791666666666669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0.46875000000000006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0.20833333333333337</v>
      </c>
      <c r="E23" s="33">
        <v>19</v>
      </c>
      <c r="F23" s="87" t="str">
        <f>CHOOSE(WEEKDAY(Calendrier!C23,2),"L","Ma","Me","J","V","S","D")</f>
        <v>V</v>
      </c>
      <c r="G23" s="65">
        <f t="shared" si="0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0.46875000000000006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0.20833333333333337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0.20833333333333337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0.19791666666666669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</v>
      </c>
      <c r="K24" s="33">
        <v>20</v>
      </c>
      <c r="L24" s="87" t="str">
        <f>CHOOSE(WEEKDAY(Calendrier!E24,2),"L","Ma","Me","J","V","S","D")</f>
        <v>J</v>
      </c>
      <c r="M24" s="65">
        <f t="shared" si="1"/>
        <v>0.19791666666666669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0.20833333333333337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0.46875000000000006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0.19791666666666669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0.20833333333333337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0.46875000000000006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0.19791666666666669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0.19791666666666669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0.20833333333333337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0.20833333333333337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0.19791666666666669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0.46875000000000006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0.19791666666666669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0.20833333333333337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0.46875000000000006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0.46875000000000006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0.46875000000000006</v>
      </c>
      <c r="W29" s="33">
        <v>25</v>
      </c>
      <c r="X29" s="87" t="str">
        <f>CHOOSE(WEEKDAY(Calendrier!I29,2),"L","Ma","Me","J","V","S","D")</f>
        <v>J</v>
      </c>
      <c r="Y29" s="65">
        <f t="shared" si="4"/>
        <v>0.19791666666666669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0.20833333333333337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0.46875000000000006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0.20833333333333337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0.19791666666666669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0.20833333333333337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0.20833333333333337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0.46875000000000006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0.19791666666666669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0.20833333333333337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0.46875000000000006</v>
      </c>
      <c r="Q32" s="33">
        <v>28</v>
      </c>
      <c r="R32" s="87" t="str">
        <f>CHOOSE(WEEKDAY(Calendrier!G32,2),"L","Ma","Me","J","V","S","D")</f>
        <v>J</v>
      </c>
      <c r="S32" s="65">
        <f t="shared" si="2"/>
        <v>0.19791666666666669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0.19791666666666669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0.19791666666666669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0.46875000000000006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0.20833333333333337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0.20833333333333337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0.19791666666666669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3.5000000000000004</v>
      </c>
      <c r="E36" s="39"/>
      <c r="F36" s="31"/>
      <c r="G36" s="37">
        <f>SUM(G5:G35)</f>
        <v>2.8750000000000004</v>
      </c>
      <c r="H36" s="40"/>
      <c r="I36" s="28"/>
      <c r="J36" s="38">
        <f>SUM(J5:J35)</f>
        <v>3.5000000000000004</v>
      </c>
      <c r="K36" s="39"/>
      <c r="L36" s="31"/>
      <c r="M36" s="38">
        <f>SUM(M5:M35)</f>
        <v>2.6250000000000004</v>
      </c>
      <c r="N36" s="39"/>
      <c r="O36" s="32"/>
      <c r="P36" s="38">
        <f>SUM(P5:P35)</f>
        <v>3.5000000000000004</v>
      </c>
      <c r="Q36" s="41"/>
      <c r="R36" s="29"/>
      <c r="S36" s="38">
        <f>SUM(S5:S35)</f>
        <v>1.7500000000000002</v>
      </c>
      <c r="T36" s="39"/>
      <c r="U36" s="32"/>
      <c r="V36" s="38">
        <f>SUM(V5:V35)</f>
        <v>3.5000000000000004</v>
      </c>
      <c r="W36" s="39"/>
      <c r="X36" s="32"/>
      <c r="Y36" s="38">
        <f>SUM(Y5:Y34)</f>
        <v>1.7500000000000002</v>
      </c>
      <c r="Z36" s="39"/>
      <c r="AA36" s="32"/>
      <c r="AB36" s="38">
        <f>SUM(AB5:AB35)</f>
        <v>3.2916666666666674</v>
      </c>
      <c r="AC36" s="39"/>
      <c r="AD36" s="32"/>
      <c r="AE36" s="38">
        <f>SUM(AE7:AE34)</f>
        <v>3.40625</v>
      </c>
      <c r="AF36" s="39"/>
      <c r="AG36" s="31"/>
      <c r="AH36" s="38">
        <f>SUM(AH5:AH34)</f>
        <v>1.2500000000000002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30.947916666666671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0.30208333333333331</v>
      </c>
      <c r="E42" s="199" t="s">
        <v>13</v>
      </c>
      <c r="F42" s="200"/>
      <c r="G42" s="81"/>
      <c r="H42" s="199" t="s">
        <v>14</v>
      </c>
      <c r="I42" s="200"/>
      <c r="J42" s="81">
        <v>0.72916666666666663</v>
      </c>
      <c r="K42" s="199" t="s">
        <v>15</v>
      </c>
      <c r="L42" s="200"/>
      <c r="M42" s="81">
        <v>8.3333333333333329E-2</v>
      </c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0.77083333333333337</v>
      </c>
      <c r="E43" s="201"/>
      <c r="F43" s="202"/>
      <c r="G43" s="81"/>
      <c r="H43" s="201"/>
      <c r="I43" s="202"/>
      <c r="J43" s="81">
        <v>0.9375</v>
      </c>
      <c r="K43" s="201"/>
      <c r="L43" s="202"/>
      <c r="M43" s="81">
        <v>0.20833333333333334</v>
      </c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>
        <v>0.27083333333333331</v>
      </c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>
        <v>0.34375</v>
      </c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0.46875000000000006</v>
      </c>
      <c r="E46" s="203"/>
      <c r="F46" s="204"/>
      <c r="G46" s="82">
        <f>(G43-G42)+(G45-G44)</f>
        <v>0</v>
      </c>
      <c r="H46" s="203"/>
      <c r="I46" s="204"/>
      <c r="J46" s="82">
        <f>(J43-J42)+(J45-J44)</f>
        <v>0.20833333333333337</v>
      </c>
      <c r="K46" s="203"/>
      <c r="L46" s="204"/>
      <c r="M46" s="82">
        <f>(M43-M42)+(M45-M44)</f>
        <v>0.19791666666666669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30.947916666666671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0.87500000000000011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0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1.34375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-1.34375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1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0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1.34375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214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213" priority="42" stopIfTrue="1">
      <formula>IF(C5="S",TRUE,IF(C5="D",TRUE,FALSE))</formula>
    </cfRule>
  </conditionalFormatting>
  <conditionalFormatting sqref="AB49:AK49 AB53:AK53">
    <cfRule type="expression" dxfId="212" priority="41" stopIfTrue="1">
      <formula xml:space="preserve"> IF($G$38=100,IF($P$47&lt;$AI49,TRUE,FALSE),FALSE)</formula>
    </cfRule>
  </conditionalFormatting>
  <conditionalFormatting sqref="R34">
    <cfRule type="cellIs" dxfId="211" priority="39" stopIfTrue="1" operator="equal">
      <formula>"S"</formula>
    </cfRule>
    <cfRule type="cellIs" dxfId="210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209" priority="38" stopIfTrue="1">
      <formula>IF(C5="S",TRUE,IF(C5="D",TRUE,FALSE))</formula>
    </cfRule>
  </conditionalFormatting>
  <conditionalFormatting sqref="P47">
    <cfRule type="cellIs" dxfId="208" priority="36" stopIfTrue="1" operator="lessThan">
      <formula>1.33333333333333</formula>
    </cfRule>
    <cfRule type="cellIs" dxfId="207" priority="37" stopIfTrue="1" operator="greaterThan">
      <formula>1.83333333333333</formula>
    </cfRule>
  </conditionalFormatting>
  <conditionalFormatting sqref="E26:E27">
    <cfRule type="expression" dxfId="206" priority="35" stopIfTrue="1">
      <formula>IF(F26="S",TRUE, IF(F26="D", TRUE,FALSE))</formula>
    </cfRule>
  </conditionalFormatting>
  <conditionalFormatting sqref="E33:E34">
    <cfRule type="expression" dxfId="205" priority="34" stopIfTrue="1">
      <formula>IF(F33="S",TRUE, IF(F33="D", TRUE,FALSE))</formula>
    </cfRule>
  </conditionalFormatting>
  <conditionalFormatting sqref="H13">
    <cfRule type="expression" dxfId="204" priority="33" stopIfTrue="1">
      <formula>IF(I13="S",TRUE, IF(I13="D", TRUE,FALSE))</formula>
    </cfRule>
  </conditionalFormatting>
  <conditionalFormatting sqref="N8">
    <cfRule type="expression" dxfId="203" priority="32" stopIfTrue="1">
      <formula>IF(O8="S",TRUE, IF(O8="D", TRUE,FALSE))</formula>
    </cfRule>
  </conditionalFormatting>
  <conditionalFormatting sqref="K34:K35 K26:K28">
    <cfRule type="expression" dxfId="202" priority="31" stopIfTrue="1">
      <formula>IF(L26="S",TRUE, IF(L26="D", TRUE,FALSE))</formula>
    </cfRule>
  </conditionalFormatting>
  <conditionalFormatting sqref="T5:T8">
    <cfRule type="expression" dxfId="201" priority="30" stopIfTrue="1">
      <formula>IF(U5="S",TRUE, IF(U5="D", TRUE,FALSE))</formula>
    </cfRule>
  </conditionalFormatting>
  <conditionalFormatting sqref="Q26:Q30">
    <cfRule type="expression" dxfId="200" priority="29" stopIfTrue="1">
      <formula>IF(R26="S",TRUE, IF(R26="D", TRUE,FALSE))</formula>
    </cfRule>
  </conditionalFormatting>
  <conditionalFormatting sqref="Z20">
    <cfRule type="expression" dxfId="199" priority="28" stopIfTrue="1">
      <formula>IF(AA20="S",TRUE, IF(AA20="D", TRUE,FALSE))</formula>
    </cfRule>
  </conditionalFormatting>
  <conditionalFormatting sqref="W23">
    <cfRule type="expression" dxfId="198" priority="27" stopIfTrue="1">
      <formula>IF(X23="S",TRUE, IF(X23="D", TRUE,FALSE))</formula>
    </cfRule>
  </conditionalFormatting>
  <conditionalFormatting sqref="W29:W33">
    <cfRule type="expression" dxfId="197" priority="26" stopIfTrue="1">
      <formula>IF(X29="S",TRUE, IF(X29="D", TRUE,FALSE))</formula>
    </cfRule>
  </conditionalFormatting>
  <conditionalFormatting sqref="Z8 Z10">
    <cfRule type="expression" dxfId="196" priority="25" stopIfTrue="1">
      <formula>IF(AA8="S",TRUE, IF(AA8="D", TRUE,FALSE))</formula>
    </cfRule>
  </conditionalFormatting>
  <conditionalFormatting sqref="Z9">
    <cfRule type="expression" dxfId="195" priority="24" stopIfTrue="1">
      <formula>IF(AA9="S",TRUE, IF(AA9="D", TRUE,FALSE))</formula>
    </cfRule>
  </conditionalFormatting>
  <conditionalFormatting sqref="W10">
    <cfRule type="expression" dxfId="194" priority="23" stopIfTrue="1">
      <formula>IF(X10="S",TRUE, IF(X10="D", TRUE,FALSE))</formula>
    </cfRule>
  </conditionalFormatting>
  <conditionalFormatting sqref="AB29">
    <cfRule type="expression" dxfId="193" priority="22" stopIfTrue="1">
      <formula>IF(AA29="S",TRUE,IF(AA29="D",TRUE,FALSE))</formula>
    </cfRule>
  </conditionalFormatting>
  <conditionalFormatting sqref="Q33">
    <cfRule type="expression" dxfId="192" priority="21" stopIfTrue="1">
      <formula>IF(R33="S",TRUE, IF(R33="D", TRUE,FALSE))</formula>
    </cfRule>
  </conditionalFormatting>
  <conditionalFormatting sqref="T32">
    <cfRule type="expression" dxfId="191" priority="20" stopIfTrue="1">
      <formula>IF(U32="S",TRUE, IF(U32="D", TRUE,FALSE))</formula>
    </cfRule>
  </conditionalFormatting>
  <conditionalFormatting sqref="E23:E25">
    <cfRule type="expression" dxfId="190" priority="19" stopIfTrue="1">
      <formula>IF(F23="S",TRUE, IF(F23="D", TRUE,FALSE))</formula>
    </cfRule>
  </conditionalFormatting>
  <conditionalFormatting sqref="E28:E32">
    <cfRule type="expression" dxfId="189" priority="18" stopIfTrue="1">
      <formula>IF(F28="S",TRUE, IF(F28="D", TRUE,FALSE))</formula>
    </cfRule>
  </conditionalFormatting>
  <conditionalFormatting sqref="E35">
    <cfRule type="expression" dxfId="188" priority="17" stopIfTrue="1">
      <formula>IF(F35="S",TRUE, IF(F35="D", TRUE,FALSE))</formula>
    </cfRule>
  </conditionalFormatting>
  <conditionalFormatting sqref="G23:G25">
    <cfRule type="expression" dxfId="187" priority="16" stopIfTrue="1">
      <formula>IF(F23="S",TRUE,IF(F23="D",TRUE,FALSE))</formula>
    </cfRule>
  </conditionalFormatting>
  <conditionalFormatting sqref="G28:G32">
    <cfRule type="expression" dxfId="186" priority="15" stopIfTrue="1">
      <formula>IF(F28="S",TRUE,IF(F28="D",TRUE,FALSE))</formula>
    </cfRule>
  </conditionalFormatting>
  <conditionalFormatting sqref="G35">
    <cfRule type="expression" dxfId="185" priority="14" stopIfTrue="1">
      <formula>IF(F35="S",TRUE,IF(F35="D",TRUE,FALSE))</formula>
    </cfRule>
  </conditionalFormatting>
  <conditionalFormatting sqref="K30:K33">
    <cfRule type="expression" dxfId="184" priority="13" stopIfTrue="1">
      <formula>IF(L30="S",TRUE, IF(L30="D", TRUE,FALSE))</formula>
    </cfRule>
  </conditionalFormatting>
  <conditionalFormatting sqref="N6:N7">
    <cfRule type="expression" dxfId="183" priority="12" stopIfTrue="1">
      <formula>IF(O6="S",TRUE, IF(O6="D", TRUE,FALSE))</formula>
    </cfRule>
  </conditionalFormatting>
  <conditionalFormatting sqref="Q31:Q32">
    <cfRule type="expression" dxfId="182" priority="11" stopIfTrue="1">
      <formula>IF(R31="S",TRUE, IF(R31="D", TRUE,FALSE))</formula>
    </cfRule>
  </conditionalFormatting>
  <conditionalFormatting sqref="H5:H7">
    <cfRule type="expression" dxfId="181" priority="10" stopIfTrue="1">
      <formula>IF(I5="S",TRUE, IF(I5="D", TRUE,FALSE))</formula>
    </cfRule>
  </conditionalFormatting>
  <conditionalFormatting sqref="H15">
    <cfRule type="expression" dxfId="180" priority="9" stopIfTrue="1">
      <formula>IF(I15="S",TRUE, IF(I15="D", TRUE,FALSE))</formula>
    </cfRule>
  </conditionalFormatting>
  <conditionalFormatting sqref="T10:T12">
    <cfRule type="expression" dxfId="179" priority="8" stopIfTrue="1">
      <formula>IF(U10="S",TRUE, IF(U10="D", TRUE,FALSE))</formula>
    </cfRule>
  </conditionalFormatting>
  <conditionalFormatting sqref="W21">
    <cfRule type="expression" dxfId="178" priority="7" stopIfTrue="1">
      <formula>IF(X21="S",TRUE, IF(X21="D", TRUE,FALSE))</formula>
    </cfRule>
  </conditionalFormatting>
  <conditionalFormatting sqref="Z5:Z7">
    <cfRule type="expression" dxfId="177" priority="6" stopIfTrue="1">
      <formula>IF(AA5="S",TRUE, IF(AA5="D", TRUE,FALSE))</formula>
    </cfRule>
  </conditionalFormatting>
  <conditionalFormatting sqref="Z12:Z15">
    <cfRule type="expression" dxfId="176" priority="5" stopIfTrue="1">
      <formula>IF(AA12="S",TRUE, IF(AA12="D", TRUE,FALSE))</formula>
    </cfRule>
  </conditionalFormatting>
  <conditionalFormatting sqref="Z29">
    <cfRule type="expression" dxfId="175" priority="4" stopIfTrue="1">
      <formula>IF(AA29="S",TRUE, IF(AA29="D", TRUE,FALSE))</formula>
    </cfRule>
  </conditionalFormatting>
  <conditionalFormatting sqref="AB54:AK54">
    <cfRule type="expression" dxfId="174" priority="3" stopIfTrue="1">
      <formula>IF($P$47&gt;#REF!,TRUE,FALSE)</formula>
    </cfRule>
  </conditionalFormatting>
  <conditionalFormatting sqref="T9">
    <cfRule type="expression" dxfId="173" priority="2" stopIfTrue="1">
      <formula>IF(U9="S",TRUE, IF(U9="D", TRUE,FALSE))</formula>
    </cfRule>
  </conditionalFormatting>
  <conditionalFormatting sqref="Z11">
    <cfRule type="expression" dxfId="172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6017" r:id="rId4" name="ComboBox1"/>
  </controls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32">
    <tabColor rgb="FFFF0000"/>
    <pageSetUpPr fitToPage="1"/>
  </sheetPr>
  <dimension ref="B1:BA74"/>
  <sheetViews>
    <sheetView showGridLines="0" zoomScaleNormal="115" workbookViewId="0">
      <selection activeCell="L8" sqref="L8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0.45833333333333337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0.45833333333333337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0.16666666666666669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0.45833333333333337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</v>
      </c>
      <c r="E7" s="33">
        <v>3</v>
      </c>
      <c r="F7" s="87" t="str">
        <f>CHOOSE(WEEKDAY(Calendrier!C7,2),"L","Ma","Me","J","V","S","D")</f>
        <v>Me</v>
      </c>
      <c r="G7" s="65">
        <f t="shared" si="0"/>
        <v>0.20833333333333337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0.20833333333333337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</v>
      </c>
      <c r="AF7" s="33">
        <v>3</v>
      </c>
      <c r="AG7" s="87" t="str">
        <f>CHOOSE(WEEKDAY(Calendrier!L7,2),"L","Ma","Me","J","V","S","D")</f>
        <v>Me</v>
      </c>
      <c r="AH7" s="65">
        <f t="shared" si="6"/>
        <v>0.20833333333333337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0.45833333333333337</v>
      </c>
      <c r="E8" s="33">
        <v>4</v>
      </c>
      <c r="F8" s="87" t="str">
        <f>CHOOSE(WEEKDAY(Calendrier!C8,2),"L","Ma","Me","J","V","S","D")</f>
        <v>J</v>
      </c>
      <c r="G8" s="65">
        <v>0.41666666666666669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0.45833333333333337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</v>
      </c>
      <c r="T8" s="33">
        <v>4</v>
      </c>
      <c r="U8" s="87" t="str">
        <f>CHOOSE(WEEKDAY(Calendrier!H8,2),"L","Ma","Me","J","V","S","D")</f>
        <v>L</v>
      </c>
      <c r="V8" s="100">
        <f t="shared" si="3"/>
        <v>0</v>
      </c>
      <c r="W8" s="33">
        <v>4</v>
      </c>
      <c r="X8" s="87" t="str">
        <f>CHOOSE(WEEKDAY(Calendrier!I8,2),"L","Ma","Me","J","V","S","D")</f>
        <v>J</v>
      </c>
      <c r="Y8" s="65">
        <f t="shared" si="4"/>
        <v>0.16666666666666669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0.45833333333333337</v>
      </c>
      <c r="AF8" s="33">
        <v>4</v>
      </c>
      <c r="AG8" s="87" t="str">
        <f>CHOOSE(WEEKDAY(Calendrier!L8,2),"L","Ma","Me","J","V","S","D")</f>
        <v>J</v>
      </c>
      <c r="AH8" s="65">
        <f t="shared" si="6"/>
        <v>0.16666666666666669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0.20833333333333337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</v>
      </c>
      <c r="K9" s="33">
        <v>5</v>
      </c>
      <c r="L9" s="87" t="str">
        <f>CHOOSE(WEEKDAY(Calendrier!E9,2),"L","Ma","Me","J","V","S","D")</f>
        <v>Me</v>
      </c>
      <c r="M9" s="65">
        <f t="shared" si="1"/>
        <v>0.20833333333333337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0.45833333333333337</v>
      </c>
      <c r="T9" s="33">
        <v>5</v>
      </c>
      <c r="U9" s="87" t="str">
        <f>CHOOSE(WEEKDAY(Calendrier!H9,2),"L","Ma","Me","J","V","S","D")</f>
        <v>Ma</v>
      </c>
      <c r="V9" s="100">
        <f t="shared" si="3"/>
        <v>0.45833333333333337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0.20833333333333337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0.16666666666666669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0.45833333333333337</v>
      </c>
      <c r="K10" s="33">
        <v>6</v>
      </c>
      <c r="L10" s="87" t="str">
        <f>CHOOSE(WEEKDAY(Calendrier!E10,2),"L","Ma","Me","J","V","S","D")</f>
        <v>J</v>
      </c>
      <c r="M10" s="65">
        <f t="shared" si="1"/>
        <v>0.16666666666666669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0.20833333333333337</v>
      </c>
      <c r="T10" s="33">
        <v>6</v>
      </c>
      <c r="U10" s="87" t="str">
        <f>CHOOSE(WEEKDAY(Calendrier!H10,2),"L","Ma","Me","J","V","S","D")</f>
        <v>Me</v>
      </c>
      <c r="V10" s="65">
        <f t="shared" si="3"/>
        <v>0.20833333333333337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0.16666666666666669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0.20833333333333337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</v>
      </c>
      <c r="Q11" s="33">
        <v>7</v>
      </c>
      <c r="R11" s="87" t="str">
        <f>CHOOSE(WEEKDAY(Calendrier!G11,2),"L","Ma","Me","J","V","S","D")</f>
        <v>J</v>
      </c>
      <c r="S11" s="65">
        <f t="shared" si="2"/>
        <v>0.16666666666666669</v>
      </c>
      <c r="T11" s="33">
        <v>7</v>
      </c>
      <c r="U11" s="87" t="str">
        <f>CHOOSE(WEEKDAY(Calendrier!H11,2),"L","Ma","Me","J","V","S","D")</f>
        <v>J</v>
      </c>
      <c r="V11" s="65">
        <f t="shared" si="3"/>
        <v>0.16666666666666669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0.45833333333333337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</v>
      </c>
      <c r="H12" s="33">
        <v>8</v>
      </c>
      <c r="I12" s="87" t="str">
        <f>CHOOSE(WEEKDAY(Calendrier!D12,2),"L","Ma","Me","J","V","S","D")</f>
        <v>J</v>
      </c>
      <c r="J12" s="65">
        <v>0.36458333333333331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0.45833333333333337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0.45833333333333337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0.20833333333333337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0.16666666666666669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0.20833333333333337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0.16666666666666669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0.45833333333333337</v>
      </c>
      <c r="E15" s="33">
        <v>11</v>
      </c>
      <c r="F15" s="87" t="str">
        <f>CHOOSE(WEEKDAY(Calendrier!C15,2),"L","Ma","Me","J","V","S","D")</f>
        <v>J</v>
      </c>
      <c r="G15" s="65">
        <f t="shared" si="0"/>
        <v>0.16666666666666669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0.45833333333333337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0.45833333333333337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0.20833333333333337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0.20833333333333337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0.45833333333333337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0.20833333333333337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0.16666666666666669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0.45833333333333337</v>
      </c>
      <c r="K17" s="33">
        <v>13</v>
      </c>
      <c r="L17" s="87" t="str">
        <f>CHOOSE(WEEKDAY(Calendrier!E17,2),"L","Ma","Me","J","V","S","D")</f>
        <v>J</v>
      </c>
      <c r="M17" s="65">
        <f t="shared" si="1"/>
        <v>0.16666666666666669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0.20833333333333337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0.16666666666666669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0.20833333333333337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0.16666666666666669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0.45833333333333337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0.16666666666666669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0.45833333333333337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0.20833333333333337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0.45833333333333337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0.20833333333333337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0.16666666666666669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0.20833333333333337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0.16666666666666669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0.45833333333333337</v>
      </c>
      <c r="E22" s="33">
        <v>18</v>
      </c>
      <c r="F22" s="87" t="str">
        <f>CHOOSE(WEEKDAY(Calendrier!C22,2),"L","Ma","Me","J","V","S","D")</f>
        <v>J</v>
      </c>
      <c r="G22" s="65">
        <f t="shared" si="0"/>
        <v>0.16666666666666669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0.45833333333333337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0.45833333333333337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0.20833333333333337</v>
      </c>
      <c r="E23" s="33">
        <v>19</v>
      </c>
      <c r="F23" s="87" t="str">
        <f>CHOOSE(WEEKDAY(Calendrier!C23,2),"L","Ma","Me","J","V","S","D")</f>
        <v>V</v>
      </c>
      <c r="G23" s="65">
        <f t="shared" si="0"/>
        <v>0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0.20833333333333337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0.45833333333333337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0.20833333333333337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0.16666666666666669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0.45833333333333337</v>
      </c>
      <c r="K24" s="33">
        <v>20</v>
      </c>
      <c r="L24" s="87" t="str">
        <f>CHOOSE(WEEKDAY(Calendrier!E24,2),"L","Ma","Me","J","V","S","D")</f>
        <v>J</v>
      </c>
      <c r="M24" s="65">
        <f t="shared" si="1"/>
        <v>0.16666666666666669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0.20833333333333337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0.16666666666666669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0.20833333333333337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0.16666666666666669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0.45833333333333337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0.16666666666666669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0.45833333333333337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0.20833333333333337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0.20833333333333337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0.45833333333333337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0.16666666666666669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0.16666666666666669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0.20833333333333337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0.45833333333333337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</v>
      </c>
      <c r="T29" s="33">
        <v>25</v>
      </c>
      <c r="U29" s="87" t="str">
        <f>CHOOSE(WEEKDAY(Calendrier!H29,2),"L","Ma","Me","J","V","S","D")</f>
        <v>L</v>
      </c>
      <c r="V29" s="100">
        <f t="shared" si="3"/>
        <v>0</v>
      </c>
      <c r="W29" s="33">
        <v>25</v>
      </c>
      <c r="X29" s="87" t="str">
        <f>CHOOSE(WEEKDAY(Calendrier!I29,2),"L","Ma","Me","J","V","S","D")</f>
        <v>J</v>
      </c>
      <c r="Y29" s="65">
        <f t="shared" si="4"/>
        <v>0.16666666666666669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0.45833333333333337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0.20833333333333337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0.45833333333333337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0.45833333333333337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0.20833333333333337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0.16666666666666669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0.45833333333333337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0.20833333333333337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0.20833333333333337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0.16666666666666669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0.20833333333333337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</v>
      </c>
      <c r="Q32" s="33">
        <v>28</v>
      </c>
      <c r="R32" s="87" t="str">
        <f>CHOOSE(WEEKDAY(Calendrier!G32,2),"L","Ma","Me","J","V","S","D")</f>
        <v>J</v>
      </c>
      <c r="S32" s="65">
        <f t="shared" si="2"/>
        <v>0.16666666666666669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0.16666666666666669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0.45833333333333337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0.16666666666666669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0.45833333333333337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0.20833333333333337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0.20833333333333337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0.45833333333333337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0.16666666666666669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3.3333333333333339</v>
      </c>
      <c r="E36" s="39"/>
      <c r="F36" s="31"/>
      <c r="G36" s="37">
        <f>SUM(G5:G35)</f>
        <v>3.0000000000000004</v>
      </c>
      <c r="H36" s="40"/>
      <c r="I36" s="28"/>
      <c r="J36" s="38">
        <f>SUM(J5:J35)</f>
        <v>3.5312500000000004</v>
      </c>
      <c r="K36" s="39"/>
      <c r="L36" s="31"/>
      <c r="M36" s="38">
        <f>SUM(M5:M35)</f>
        <v>2.5000000000000004</v>
      </c>
      <c r="N36" s="39"/>
      <c r="O36" s="32"/>
      <c r="P36" s="38">
        <f>SUM(P5:P35)</f>
        <v>3.3333333333333339</v>
      </c>
      <c r="Q36" s="41"/>
      <c r="R36" s="29"/>
      <c r="S36" s="38">
        <f>SUM(S5:S35)</f>
        <v>1.6666666666666672</v>
      </c>
      <c r="T36" s="39"/>
      <c r="U36" s="32"/>
      <c r="V36" s="38">
        <f>SUM(V5:V35)</f>
        <v>3.3333333333333339</v>
      </c>
      <c r="W36" s="39"/>
      <c r="X36" s="32"/>
      <c r="Y36" s="38">
        <f>SUM(Y5:Y34)</f>
        <v>2.1250000000000004</v>
      </c>
      <c r="Z36" s="39"/>
      <c r="AA36" s="32"/>
      <c r="AB36" s="38">
        <f>SUM(AB5:AB35)</f>
        <v>3.1250000000000004</v>
      </c>
      <c r="AC36" s="39"/>
      <c r="AD36" s="32"/>
      <c r="AE36" s="38">
        <f>SUM(AE7:AE34)</f>
        <v>3.7083333333333339</v>
      </c>
      <c r="AF36" s="39"/>
      <c r="AG36" s="31"/>
      <c r="AH36" s="38">
        <f>SUM(AH5:AH34)</f>
        <v>1.2083333333333335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30.864583333333339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/>
      <c r="E42" s="199" t="s">
        <v>13</v>
      </c>
      <c r="F42" s="200"/>
      <c r="G42" s="81">
        <v>0.3125</v>
      </c>
      <c r="H42" s="199" t="s">
        <v>14</v>
      </c>
      <c r="I42" s="200"/>
      <c r="J42" s="81">
        <v>0.72916666666666663</v>
      </c>
      <c r="K42" s="199" t="s">
        <v>15</v>
      </c>
      <c r="L42" s="200"/>
      <c r="M42" s="81">
        <v>8.3333333333333329E-2</v>
      </c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/>
      <c r="E43" s="201"/>
      <c r="F43" s="202"/>
      <c r="G43" s="81">
        <v>0.77083333333333337</v>
      </c>
      <c r="H43" s="201"/>
      <c r="I43" s="202"/>
      <c r="J43" s="81">
        <v>0.9375</v>
      </c>
      <c r="K43" s="201"/>
      <c r="L43" s="202"/>
      <c r="M43" s="81">
        <v>0.20833333333333334</v>
      </c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>
        <v>0.27083333333333331</v>
      </c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>
        <v>0.3125</v>
      </c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</v>
      </c>
      <c r="E46" s="203"/>
      <c r="F46" s="204"/>
      <c r="G46" s="82">
        <f>(G43-G42)+(G45-G44)</f>
        <v>0.45833333333333337</v>
      </c>
      <c r="H46" s="203"/>
      <c r="I46" s="204"/>
      <c r="J46" s="82">
        <f>(J43-J42)+(J45-J44)</f>
        <v>0.20833333333333337</v>
      </c>
      <c r="K46" s="203"/>
      <c r="L46" s="204"/>
      <c r="M46" s="82">
        <f>(M43-M42)+(M45-M44)</f>
        <v>0.16666666666666669</v>
      </c>
      <c r="N46" s="203"/>
      <c r="O46" s="204"/>
      <c r="P46" s="82"/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30.864583333333339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0.83333333333333348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0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1.4270833333333321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-1.4270833333333321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1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0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0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1.4270833333333321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171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170" priority="42" stopIfTrue="1">
      <formula>IF(C5="S",TRUE,IF(C5="D",TRUE,FALSE))</formula>
    </cfRule>
  </conditionalFormatting>
  <conditionalFormatting sqref="AB49:AK49 AB53:AK53">
    <cfRule type="expression" dxfId="169" priority="41" stopIfTrue="1">
      <formula xml:space="preserve"> IF($G$38=100,IF($P$47&lt;$AI49,TRUE,FALSE),FALSE)</formula>
    </cfRule>
  </conditionalFormatting>
  <conditionalFormatting sqref="R34">
    <cfRule type="cellIs" dxfId="168" priority="39" stopIfTrue="1" operator="equal">
      <formula>"S"</formula>
    </cfRule>
    <cfRule type="cellIs" dxfId="167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166" priority="38" stopIfTrue="1">
      <formula>IF(C5="S",TRUE,IF(C5="D",TRUE,FALSE))</formula>
    </cfRule>
  </conditionalFormatting>
  <conditionalFormatting sqref="P47">
    <cfRule type="cellIs" dxfId="165" priority="36" stopIfTrue="1" operator="lessThan">
      <formula>1.33333333333333</formula>
    </cfRule>
    <cfRule type="cellIs" dxfId="164" priority="37" stopIfTrue="1" operator="greaterThan">
      <formula>1.83333333333333</formula>
    </cfRule>
  </conditionalFormatting>
  <conditionalFormatting sqref="E26:E27">
    <cfRule type="expression" dxfId="163" priority="35" stopIfTrue="1">
      <formula>IF(F26="S",TRUE, IF(F26="D", TRUE,FALSE))</formula>
    </cfRule>
  </conditionalFormatting>
  <conditionalFormatting sqref="E33:E34">
    <cfRule type="expression" dxfId="162" priority="34" stopIfTrue="1">
      <formula>IF(F33="S",TRUE, IF(F33="D", TRUE,FALSE))</formula>
    </cfRule>
  </conditionalFormatting>
  <conditionalFormatting sqref="H13">
    <cfRule type="expression" dxfId="161" priority="33" stopIfTrue="1">
      <formula>IF(I13="S",TRUE, IF(I13="D", TRUE,FALSE))</formula>
    </cfRule>
  </conditionalFormatting>
  <conditionalFormatting sqref="N8">
    <cfRule type="expression" dxfId="160" priority="32" stopIfTrue="1">
      <formula>IF(O8="S",TRUE, IF(O8="D", TRUE,FALSE))</formula>
    </cfRule>
  </conditionalFormatting>
  <conditionalFormatting sqref="K34:K35 K26:K28">
    <cfRule type="expression" dxfId="159" priority="31" stopIfTrue="1">
      <formula>IF(L26="S",TRUE, IF(L26="D", TRUE,FALSE))</formula>
    </cfRule>
  </conditionalFormatting>
  <conditionalFormatting sqref="T5:T8">
    <cfRule type="expression" dxfId="158" priority="30" stopIfTrue="1">
      <formula>IF(U5="S",TRUE, IF(U5="D", TRUE,FALSE))</formula>
    </cfRule>
  </conditionalFormatting>
  <conditionalFormatting sqref="Q26:Q30">
    <cfRule type="expression" dxfId="157" priority="29" stopIfTrue="1">
      <formula>IF(R26="S",TRUE, IF(R26="D", TRUE,FALSE))</formula>
    </cfRule>
  </conditionalFormatting>
  <conditionalFormatting sqref="Z20">
    <cfRule type="expression" dxfId="156" priority="28" stopIfTrue="1">
      <formula>IF(AA20="S",TRUE, IF(AA20="D", TRUE,FALSE))</formula>
    </cfRule>
  </conditionalFormatting>
  <conditionalFormatting sqref="W23">
    <cfRule type="expression" dxfId="155" priority="27" stopIfTrue="1">
      <formula>IF(X23="S",TRUE, IF(X23="D", TRUE,FALSE))</formula>
    </cfRule>
  </conditionalFormatting>
  <conditionalFormatting sqref="W29:W33">
    <cfRule type="expression" dxfId="154" priority="26" stopIfTrue="1">
      <formula>IF(X29="S",TRUE, IF(X29="D", TRUE,FALSE))</formula>
    </cfRule>
  </conditionalFormatting>
  <conditionalFormatting sqref="Z8 Z10">
    <cfRule type="expression" dxfId="153" priority="25" stopIfTrue="1">
      <formula>IF(AA8="S",TRUE, IF(AA8="D", TRUE,FALSE))</formula>
    </cfRule>
  </conditionalFormatting>
  <conditionalFormatting sqref="Z9">
    <cfRule type="expression" dxfId="152" priority="24" stopIfTrue="1">
      <formula>IF(AA9="S",TRUE, IF(AA9="D", TRUE,FALSE))</formula>
    </cfRule>
  </conditionalFormatting>
  <conditionalFormatting sqref="W10">
    <cfRule type="expression" dxfId="151" priority="23" stopIfTrue="1">
      <formula>IF(X10="S",TRUE, IF(X10="D", TRUE,FALSE))</formula>
    </cfRule>
  </conditionalFormatting>
  <conditionalFormatting sqref="AB29">
    <cfRule type="expression" dxfId="150" priority="22" stopIfTrue="1">
      <formula>IF(AA29="S",TRUE,IF(AA29="D",TRUE,FALSE))</formula>
    </cfRule>
  </conditionalFormatting>
  <conditionalFormatting sqref="Q33">
    <cfRule type="expression" dxfId="149" priority="21" stopIfTrue="1">
      <formula>IF(R33="S",TRUE, IF(R33="D", TRUE,FALSE))</formula>
    </cfRule>
  </conditionalFormatting>
  <conditionalFormatting sqref="T32">
    <cfRule type="expression" dxfId="148" priority="20" stopIfTrue="1">
      <formula>IF(U32="S",TRUE, IF(U32="D", TRUE,FALSE))</formula>
    </cfRule>
  </conditionalFormatting>
  <conditionalFormatting sqref="E23:E25">
    <cfRule type="expression" dxfId="147" priority="19" stopIfTrue="1">
      <formula>IF(F23="S",TRUE, IF(F23="D", TRUE,FALSE))</formula>
    </cfRule>
  </conditionalFormatting>
  <conditionalFormatting sqref="E28:E32">
    <cfRule type="expression" dxfId="146" priority="18" stopIfTrue="1">
      <formula>IF(F28="S",TRUE, IF(F28="D", TRUE,FALSE))</formula>
    </cfRule>
  </conditionalFormatting>
  <conditionalFormatting sqref="E35">
    <cfRule type="expression" dxfId="145" priority="17" stopIfTrue="1">
      <formula>IF(F35="S",TRUE, IF(F35="D", TRUE,FALSE))</formula>
    </cfRule>
  </conditionalFormatting>
  <conditionalFormatting sqref="G23:G25">
    <cfRule type="expression" dxfId="144" priority="16" stopIfTrue="1">
      <formula>IF(F23="S",TRUE,IF(F23="D",TRUE,FALSE))</formula>
    </cfRule>
  </conditionalFormatting>
  <conditionalFormatting sqref="G28:G32">
    <cfRule type="expression" dxfId="143" priority="15" stopIfTrue="1">
      <formula>IF(F28="S",TRUE,IF(F28="D",TRUE,FALSE))</formula>
    </cfRule>
  </conditionalFormatting>
  <conditionalFormatting sqref="G35">
    <cfRule type="expression" dxfId="142" priority="14" stopIfTrue="1">
      <formula>IF(F35="S",TRUE,IF(F35="D",TRUE,FALSE))</formula>
    </cfRule>
  </conditionalFormatting>
  <conditionalFormatting sqref="K30:K33">
    <cfRule type="expression" dxfId="141" priority="13" stopIfTrue="1">
      <formula>IF(L30="S",TRUE, IF(L30="D", TRUE,FALSE))</formula>
    </cfRule>
  </conditionalFormatting>
  <conditionalFormatting sqref="N6:N7">
    <cfRule type="expression" dxfId="140" priority="12" stopIfTrue="1">
      <formula>IF(O6="S",TRUE, IF(O6="D", TRUE,FALSE))</formula>
    </cfRule>
  </conditionalFormatting>
  <conditionalFormatting sqref="Q31:Q32">
    <cfRule type="expression" dxfId="139" priority="11" stopIfTrue="1">
      <formula>IF(R31="S",TRUE, IF(R31="D", TRUE,FALSE))</formula>
    </cfRule>
  </conditionalFormatting>
  <conditionalFormatting sqref="H5:H7">
    <cfRule type="expression" dxfId="138" priority="10" stopIfTrue="1">
      <formula>IF(I5="S",TRUE, IF(I5="D", TRUE,FALSE))</formula>
    </cfRule>
  </conditionalFormatting>
  <conditionalFormatting sqref="H15">
    <cfRule type="expression" dxfId="137" priority="9" stopIfTrue="1">
      <formula>IF(I15="S",TRUE, IF(I15="D", TRUE,FALSE))</formula>
    </cfRule>
  </conditionalFormatting>
  <conditionalFormatting sqref="T10:T12">
    <cfRule type="expression" dxfId="136" priority="8" stopIfTrue="1">
      <formula>IF(U10="S",TRUE, IF(U10="D", TRUE,FALSE))</formula>
    </cfRule>
  </conditionalFormatting>
  <conditionalFormatting sqref="W21">
    <cfRule type="expression" dxfId="135" priority="7" stopIfTrue="1">
      <formula>IF(X21="S",TRUE, IF(X21="D", TRUE,FALSE))</formula>
    </cfRule>
  </conditionalFormatting>
  <conditionalFormatting sqref="Z5:Z7">
    <cfRule type="expression" dxfId="134" priority="6" stopIfTrue="1">
      <formula>IF(AA5="S",TRUE, IF(AA5="D", TRUE,FALSE))</formula>
    </cfRule>
  </conditionalFormatting>
  <conditionalFormatting sqref="Z12:Z15">
    <cfRule type="expression" dxfId="133" priority="5" stopIfTrue="1">
      <formula>IF(AA12="S",TRUE, IF(AA12="D", TRUE,FALSE))</formula>
    </cfRule>
  </conditionalFormatting>
  <conditionalFormatting sqref="Z29">
    <cfRule type="expression" dxfId="132" priority="4" stopIfTrue="1">
      <formula>IF(AA29="S",TRUE, IF(AA29="D", TRUE,FALSE))</formula>
    </cfRule>
  </conditionalFormatting>
  <conditionalFormatting sqref="AB54:AK54">
    <cfRule type="expression" dxfId="131" priority="3" stopIfTrue="1">
      <formula>IF($P$47&gt;#REF!,TRUE,FALSE)</formula>
    </cfRule>
  </conditionalFormatting>
  <conditionalFormatting sqref="T9">
    <cfRule type="expression" dxfId="130" priority="2" stopIfTrue="1">
      <formula>IF(U9="S",TRUE, IF(U9="D", TRUE,FALSE))</formula>
    </cfRule>
  </conditionalFormatting>
  <conditionalFormatting sqref="Z11">
    <cfRule type="expression" dxfId="129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9089" r:id="rId4" name="ComboBox1"/>
  </controls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31">
    <tabColor rgb="FFFF0000"/>
    <pageSetUpPr fitToPage="1"/>
  </sheetPr>
  <dimension ref="B1:BA74"/>
  <sheetViews>
    <sheetView showGridLines="0" zoomScaleNormal="115" workbookViewId="0">
      <selection activeCell="B2" sqref="B2:AK2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0.16666666666666669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0.16666666666666669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0.45833333333333337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0.45833333333333337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0.20833333333333337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0.45833333333333337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</v>
      </c>
      <c r="E7" s="33">
        <v>3</v>
      </c>
      <c r="F7" s="87" t="str">
        <f>CHOOSE(WEEKDAY(Calendrier!C7,2),"L","Ma","Me","J","V","S","D")</f>
        <v>Me</v>
      </c>
      <c r="G7" s="65">
        <f t="shared" si="0"/>
        <v>0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</v>
      </c>
      <c r="Z7" s="33">
        <v>3</v>
      </c>
      <c r="AA7" s="87" t="str">
        <f>CHOOSE(WEEKDAY(Calendrier!J7,2),"L","Ma","Me","J","V","S","D")</f>
        <v>V</v>
      </c>
      <c r="AB7" s="65">
        <f t="shared" si="10"/>
        <v>0.16666666666666669</v>
      </c>
      <c r="AC7" s="33">
        <v>3</v>
      </c>
      <c r="AD7" s="87" t="str">
        <f>CHOOSE(WEEKDAY(Calendrier!K7,2),"L","Ma","Me","J","V","S","D")</f>
        <v>L</v>
      </c>
      <c r="AE7" s="100">
        <f t="shared" si="5"/>
        <v>0</v>
      </c>
      <c r="AF7" s="33">
        <v>3</v>
      </c>
      <c r="AG7" s="87" t="str">
        <f>CHOOSE(WEEKDAY(Calendrier!L7,2),"L","Ma","Me","J","V","S","D")</f>
        <v>Me</v>
      </c>
      <c r="AH7" s="65">
        <f t="shared" si="6"/>
        <v>0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0.45833333333333337</v>
      </c>
      <c r="E8" s="33">
        <v>4</v>
      </c>
      <c r="F8" s="87" t="str">
        <f>CHOOSE(WEEKDAY(Calendrier!C8,2),"L","Ma","Me","J","V","S","D")</f>
        <v>J</v>
      </c>
      <c r="G8" s="65">
        <f t="shared" si="0"/>
        <v>0.20833333333333337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0.45833333333333337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</v>
      </c>
      <c r="T8" s="33">
        <v>4</v>
      </c>
      <c r="U8" s="87" t="str">
        <f>CHOOSE(WEEKDAY(Calendrier!H8,2),"L","Ma","Me","J","V","S","D")</f>
        <v>L</v>
      </c>
      <c r="V8" s="100">
        <f t="shared" si="3"/>
        <v>0</v>
      </c>
      <c r="W8" s="33">
        <v>4</v>
      </c>
      <c r="X8" s="87" t="str">
        <f>CHOOSE(WEEKDAY(Calendrier!I8,2),"L","Ma","Me","J","V","S","D")</f>
        <v>J</v>
      </c>
      <c r="Y8" s="65">
        <f t="shared" si="4"/>
        <v>0.20833333333333337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0.45833333333333337</v>
      </c>
      <c r="AF8" s="33">
        <v>4</v>
      </c>
      <c r="AG8" s="87" t="str">
        <f>CHOOSE(WEEKDAY(Calendrier!L8,2),"L","Ma","Me","J","V","S","D")</f>
        <v>J</v>
      </c>
      <c r="AH8" s="65">
        <f t="shared" si="6"/>
        <v>0.20833333333333337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</v>
      </c>
      <c r="E9" s="33">
        <v>5</v>
      </c>
      <c r="F9" s="87" t="str">
        <f>CHOOSE(WEEKDAY(Calendrier!C9,2),"L","Ma","Me","J","V","S","D")</f>
        <v>V</v>
      </c>
      <c r="G9" s="65">
        <f t="shared" si="0"/>
        <v>0.16666666666666669</v>
      </c>
      <c r="H9" s="33">
        <v>5</v>
      </c>
      <c r="I9" s="87" t="str">
        <f>CHOOSE(WEEKDAY(Calendrier!D9,2),"L","Ma","Me","J","V","S","D")</f>
        <v>L</v>
      </c>
      <c r="J9" s="100">
        <f t="shared" si="11"/>
        <v>0</v>
      </c>
      <c r="K9" s="33">
        <v>5</v>
      </c>
      <c r="L9" s="87" t="str">
        <f>CHOOSE(WEEKDAY(Calendrier!E9,2),"L","Ma","Me","J","V","S","D")</f>
        <v>Me</v>
      </c>
      <c r="M9" s="65">
        <f t="shared" si="1"/>
        <v>0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0.45833333333333337</v>
      </c>
      <c r="T9" s="33">
        <v>5</v>
      </c>
      <c r="U9" s="87" t="str">
        <f>CHOOSE(WEEKDAY(Calendrier!H9,2),"L","Ma","Me","J","V","S","D")</f>
        <v>Ma</v>
      </c>
      <c r="V9" s="100">
        <f t="shared" si="3"/>
        <v>0.45833333333333337</v>
      </c>
      <c r="W9" s="33">
        <v>5</v>
      </c>
      <c r="X9" s="87" t="str">
        <f>CHOOSE(WEEKDAY(Calendrier!I9,2),"L","Ma","Me","J","V","S","D")</f>
        <v>V</v>
      </c>
      <c r="Y9" s="65">
        <f t="shared" si="4"/>
        <v>0.16666666666666669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0.20833333333333337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0.45833333333333337</v>
      </c>
      <c r="K10" s="33">
        <v>6</v>
      </c>
      <c r="L10" s="87" t="str">
        <f>CHOOSE(WEEKDAY(Calendrier!E10,2),"L","Ma","Me","J","V","S","D")</f>
        <v>J</v>
      </c>
      <c r="M10" s="65">
        <f t="shared" si="1"/>
        <v>0.20833333333333337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</v>
      </c>
      <c r="T10" s="33">
        <v>6</v>
      </c>
      <c r="U10" s="87" t="str">
        <f>CHOOSE(WEEKDAY(Calendrier!H10,2),"L","Ma","Me","J","V","S","D")</f>
        <v>Me</v>
      </c>
      <c r="V10" s="65">
        <f t="shared" si="3"/>
        <v>0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0.20833333333333337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0.16666666666666669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</v>
      </c>
      <c r="K11" s="33">
        <v>7</v>
      </c>
      <c r="L11" s="87" t="str">
        <f>CHOOSE(WEEKDAY(Calendrier!E11,2),"L","Ma","Me","J","V","S","D")</f>
        <v>V</v>
      </c>
      <c r="M11" s="65">
        <f t="shared" si="1"/>
        <v>0.16666666666666669</v>
      </c>
      <c r="N11" s="33">
        <v>7</v>
      </c>
      <c r="O11" s="87" t="str">
        <f>CHOOSE(WEEKDAY(Calendrier!F11,2),"L","Ma","Me","J","V","S","D")</f>
        <v>L</v>
      </c>
      <c r="P11" s="100">
        <f t="shared" si="12"/>
        <v>0</v>
      </c>
      <c r="Q11" s="33">
        <v>7</v>
      </c>
      <c r="R11" s="87" t="str">
        <f>CHOOSE(WEEKDAY(Calendrier!G11,2),"L","Ma","Me","J","V","S","D")</f>
        <v>J</v>
      </c>
      <c r="S11" s="65">
        <f t="shared" si="2"/>
        <v>0.20833333333333337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0.20833333333333337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0.45833333333333337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0.16666666666666669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</v>
      </c>
      <c r="H12" s="33">
        <v>8</v>
      </c>
      <c r="I12" s="87" t="str">
        <f>CHOOSE(WEEKDAY(Calendrier!D12,2),"L","Ma","Me","J","V","S","D")</f>
        <v>J</v>
      </c>
      <c r="J12" s="65">
        <f t="shared" si="11"/>
        <v>0.20833333333333337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0.45833333333333337</v>
      </c>
      <c r="Q12" s="33">
        <v>8</v>
      </c>
      <c r="R12" s="87" t="str">
        <f>CHOOSE(WEEKDAY(Calendrier!G12,2),"L","Ma","Me","J","V","S","D")</f>
        <v>V</v>
      </c>
      <c r="S12" s="65">
        <f t="shared" si="2"/>
        <v>0.16666666666666669</v>
      </c>
      <c r="T12" s="33">
        <v>8</v>
      </c>
      <c r="U12" s="87" t="str">
        <f>CHOOSE(WEEKDAY(Calendrier!H12,2),"L","Ma","Me","J","V","S","D")</f>
        <v>V</v>
      </c>
      <c r="V12" s="65">
        <f t="shared" si="3"/>
        <v>0.16666666666666669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0.45833333333333337</v>
      </c>
      <c r="H13" s="33">
        <v>9</v>
      </c>
      <c r="I13" s="87" t="str">
        <f>CHOOSE(WEEKDAY(Calendrier!D13,2),"L","Ma","Me","J","V","S","D")</f>
        <v>V</v>
      </c>
      <c r="J13" s="65">
        <f t="shared" si="11"/>
        <v>0.16666666666666669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0.20833333333333337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</v>
      </c>
      <c r="E14" s="33">
        <v>10</v>
      </c>
      <c r="F14" s="87" t="str">
        <f>CHOOSE(WEEKDAY(Calendrier!C14,2),"L","Ma","Me","J","V","S","D")</f>
        <v>Me</v>
      </c>
      <c r="G14" s="65">
        <f t="shared" si="0"/>
        <v>0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0.20833333333333337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0.16666666666666669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0.45833333333333337</v>
      </c>
      <c r="E15" s="33">
        <v>11</v>
      </c>
      <c r="F15" s="87" t="str">
        <f>CHOOSE(WEEKDAY(Calendrier!C15,2),"L","Ma","Me","J","V","S","D")</f>
        <v>J</v>
      </c>
      <c r="G15" s="65">
        <f t="shared" si="0"/>
        <v>0.20833333333333337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0.45833333333333337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0.16666666666666669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0.45833333333333337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</v>
      </c>
      <c r="E16" s="33">
        <v>12</v>
      </c>
      <c r="F16" s="87" t="str">
        <f>CHOOSE(WEEKDAY(Calendrier!C16,2),"L","Ma","Me","J","V","S","D")</f>
        <v>V</v>
      </c>
      <c r="G16" s="65">
        <f t="shared" si="0"/>
        <v>0.16666666666666669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</v>
      </c>
      <c r="K16" s="33">
        <v>12</v>
      </c>
      <c r="L16" s="87" t="str">
        <f>CHOOSE(WEEKDAY(Calendrier!E16,2),"L","Ma","Me","J","V","S","D")</f>
        <v>Me</v>
      </c>
      <c r="M16" s="65">
        <f t="shared" si="1"/>
        <v>0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0.45833333333333337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0.20833333333333337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0.45833333333333337</v>
      </c>
      <c r="K17" s="33">
        <v>13</v>
      </c>
      <c r="L17" s="87" t="str">
        <f>CHOOSE(WEEKDAY(Calendrier!E17,2),"L","Ma","Me","J","V","S","D")</f>
        <v>J</v>
      </c>
      <c r="M17" s="65">
        <f t="shared" si="1"/>
        <v>0.20833333333333337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0.20833333333333337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0.16666666666666669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</v>
      </c>
      <c r="K18" s="33">
        <v>14</v>
      </c>
      <c r="L18" s="87" t="str">
        <f>CHOOSE(WEEKDAY(Calendrier!E18,2),"L","Ma","Me","J","V","S","D")</f>
        <v>V</v>
      </c>
      <c r="M18" s="65">
        <f t="shared" si="1"/>
        <v>0.16666666666666669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0.20833333333333337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0.45833333333333337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0.16666666666666669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0.20833333333333337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0.45833333333333337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0.16666666666666669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0.45833333333333337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0.16666666666666669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0.20833333333333337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</v>
      </c>
      <c r="E21" s="33">
        <v>17</v>
      </c>
      <c r="F21" s="87" t="str">
        <f>CHOOSE(WEEKDAY(Calendrier!C21,2),"L","Ma","Me","J","V","S","D")</f>
        <v>Me</v>
      </c>
      <c r="G21" s="65">
        <f t="shared" si="0"/>
        <v>0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0.20833333333333337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0.16666666666666669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0.45833333333333337</v>
      </c>
      <c r="E22" s="33">
        <v>18</v>
      </c>
      <c r="F22" s="87" t="str">
        <f>CHOOSE(WEEKDAY(Calendrier!C22,2),"L","Ma","Me","J","V","S","D")</f>
        <v>J</v>
      </c>
      <c r="G22" s="65">
        <f t="shared" si="0"/>
        <v>0.20833333333333337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0.45833333333333337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0.16666666666666669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0.45833333333333337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</v>
      </c>
      <c r="E23" s="33">
        <v>19</v>
      </c>
      <c r="F23" s="87" t="str">
        <f>CHOOSE(WEEKDAY(Calendrier!C23,2),"L","Ma","Me","J","V","S","D")</f>
        <v>V</v>
      </c>
      <c r="G23" s="65">
        <v>0.27083333333333331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</v>
      </c>
      <c r="K23" s="33">
        <v>19</v>
      </c>
      <c r="L23" s="87" t="str">
        <f>CHOOSE(WEEKDAY(Calendrier!E23,2),"L","Ma","Me","J","V","S","D")</f>
        <v>Me</v>
      </c>
      <c r="M23" s="65">
        <f t="shared" si="1"/>
        <v>0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0.45833333333333337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0.20833333333333337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0.45833333333333337</v>
      </c>
      <c r="K24" s="33">
        <v>20</v>
      </c>
      <c r="L24" s="87" t="str">
        <f>CHOOSE(WEEKDAY(Calendrier!E24,2),"L","Ma","Me","J","V","S","D")</f>
        <v>J</v>
      </c>
      <c r="M24" s="65">
        <f t="shared" si="1"/>
        <v>0.20833333333333337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0.20833333333333337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0.16666666666666669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</v>
      </c>
      <c r="K25" s="33">
        <v>21</v>
      </c>
      <c r="L25" s="87" t="str">
        <f>CHOOSE(WEEKDAY(Calendrier!E25,2),"L","Ma","Me","J","V","S","D")</f>
        <v>V</v>
      </c>
      <c r="M25" s="65">
        <f t="shared" si="1"/>
        <v>0.16666666666666669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0.20833333333333337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0.45833333333333337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0.16666666666666669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0.20833333333333337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0.45833333333333337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0.16666666666666669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0.16666666666666669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0.45833333333333337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0.20833333333333337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0.20833333333333337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0.16666666666666669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0.45833333333333337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0.16666666666666669</v>
      </c>
      <c r="Q29" s="33">
        <v>25</v>
      </c>
      <c r="R29" s="87" t="str">
        <f>CHOOSE(WEEKDAY(Calendrier!G29,2),"L","Ma","Me","J","V","S","D")</f>
        <v>L</v>
      </c>
      <c r="S29" s="100">
        <f t="shared" si="2"/>
        <v>0</v>
      </c>
      <c r="T29" s="33">
        <v>25</v>
      </c>
      <c r="U29" s="87" t="str">
        <f>CHOOSE(WEEKDAY(Calendrier!H29,2),"L","Ma","Me","J","V","S","D")</f>
        <v>L</v>
      </c>
      <c r="V29" s="100">
        <f t="shared" si="3"/>
        <v>0</v>
      </c>
      <c r="W29" s="33">
        <v>25</v>
      </c>
      <c r="X29" s="87" t="str">
        <f>CHOOSE(WEEKDAY(Calendrier!I29,2),"L","Ma","Me","J","V","S","D")</f>
        <v>J</v>
      </c>
      <c r="Y29" s="65">
        <f t="shared" si="4"/>
        <v>0.20833333333333337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0.45833333333333337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0.45833333333333337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0.45833333333333337</v>
      </c>
      <c r="W30" s="33">
        <v>26</v>
      </c>
      <c r="X30" s="87" t="str">
        <f>CHOOSE(WEEKDAY(Calendrier!I30,2),"L","Ma","Me","J","V","S","D")</f>
        <v>V</v>
      </c>
      <c r="Y30" s="65">
        <f t="shared" si="4"/>
        <v>0.16666666666666669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0.20833333333333337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0.45833333333333337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</v>
      </c>
      <c r="T31" s="33">
        <v>27</v>
      </c>
      <c r="U31" s="87" t="str">
        <f>CHOOSE(WEEKDAY(Calendrier!H31,2),"L","Ma","Me","J","V","S","D")</f>
        <v>Me</v>
      </c>
      <c r="V31" s="65">
        <f t="shared" si="3"/>
        <v>0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0.20833333333333337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0.16666666666666669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</v>
      </c>
      <c r="Q32" s="33">
        <v>28</v>
      </c>
      <c r="R32" s="87" t="str">
        <f>CHOOSE(WEEKDAY(Calendrier!G32,2),"L","Ma","Me","J","V","S","D")</f>
        <v>J</v>
      </c>
      <c r="S32" s="65">
        <f t="shared" si="2"/>
        <v>0.20833333333333337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0.20833333333333337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0.45833333333333337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0.20833333333333337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0.45833333333333337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0.16666666666666669</v>
      </c>
      <c r="W33" s="33">
        <v>29</v>
      </c>
      <c r="X33" s="87" t="str">
        <f>CHOOSE(WEEKDAY(Calendrier!I33,2),"L","Ma","Me","J","V","S","D")</f>
        <v>L</v>
      </c>
      <c r="Y33" s="100">
        <f t="shared" si="4"/>
        <v>0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0.16666666666666669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0.45833333333333337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0.20833333333333337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0.16666666666666669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3.3333333333333339</v>
      </c>
      <c r="E36" s="39"/>
      <c r="F36" s="31"/>
      <c r="G36" s="37">
        <f>SUM(G5:G35)</f>
        <v>2.8541666666666674</v>
      </c>
      <c r="H36" s="40"/>
      <c r="I36" s="28"/>
      <c r="J36" s="38">
        <f>SUM(J5:J35)</f>
        <v>3.3333333333333339</v>
      </c>
      <c r="K36" s="39"/>
      <c r="L36" s="31"/>
      <c r="M36" s="38">
        <f>SUM(M5:M35)</f>
        <v>2.5000000000000004</v>
      </c>
      <c r="N36" s="39"/>
      <c r="O36" s="32"/>
      <c r="P36" s="38">
        <f>SUM(P5:P35)</f>
        <v>3.1666666666666674</v>
      </c>
      <c r="Q36" s="41"/>
      <c r="R36" s="29"/>
      <c r="S36" s="38">
        <f>SUM(S5:S35)</f>
        <v>1.666666666666667</v>
      </c>
      <c r="T36" s="39"/>
      <c r="U36" s="32"/>
      <c r="V36" s="38">
        <f>SUM(V5:V35)</f>
        <v>3.5000000000000004</v>
      </c>
      <c r="W36" s="39"/>
      <c r="X36" s="32"/>
      <c r="Y36" s="38">
        <f>SUM(Y5:Y34)</f>
        <v>2.1250000000000004</v>
      </c>
      <c r="Z36" s="39"/>
      <c r="AA36" s="32"/>
      <c r="AB36" s="38">
        <f>SUM(AB5:AB35)</f>
        <v>3.5000000000000004</v>
      </c>
      <c r="AC36" s="39"/>
      <c r="AD36" s="32"/>
      <c r="AE36" s="38">
        <f>SUM(AE7:AE34)</f>
        <v>3.5416666666666674</v>
      </c>
      <c r="AF36" s="39"/>
      <c r="AG36" s="31"/>
      <c r="AH36" s="38">
        <f>SUM(AH5:AH34)</f>
        <v>1.0416666666666667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30.562500000000007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/>
      <c r="E42" s="199" t="s">
        <v>13</v>
      </c>
      <c r="F42" s="200"/>
      <c r="G42" s="81">
        <v>0.3125</v>
      </c>
      <c r="H42" s="199" t="s">
        <v>14</v>
      </c>
      <c r="I42" s="200"/>
      <c r="J42" s="81"/>
      <c r="K42" s="199" t="s">
        <v>15</v>
      </c>
      <c r="L42" s="200"/>
      <c r="M42" s="81">
        <v>0.72916666666666663</v>
      </c>
      <c r="N42" s="199" t="s">
        <v>16</v>
      </c>
      <c r="O42" s="200"/>
      <c r="P42" s="81">
        <v>8.3333333333333329E-2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/>
      <c r="E43" s="201"/>
      <c r="F43" s="202"/>
      <c r="G43" s="81">
        <v>0.77083333333333337</v>
      </c>
      <c r="H43" s="201"/>
      <c r="I43" s="202"/>
      <c r="J43" s="81"/>
      <c r="K43" s="201"/>
      <c r="L43" s="202"/>
      <c r="M43" s="81">
        <v>0.9375</v>
      </c>
      <c r="N43" s="201"/>
      <c r="O43" s="202"/>
      <c r="P43" s="81">
        <v>0.20833333333333334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/>
      <c r="N44" s="201"/>
      <c r="O44" s="202"/>
      <c r="P44" s="81">
        <v>0.27083333333333331</v>
      </c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/>
      <c r="N45" s="201"/>
      <c r="O45" s="202"/>
      <c r="P45" s="81">
        <v>0.3125</v>
      </c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</v>
      </c>
      <c r="E46" s="203"/>
      <c r="F46" s="204"/>
      <c r="G46" s="82">
        <f>(G43-G42)+(G45-G44)</f>
        <v>0.45833333333333337</v>
      </c>
      <c r="H46" s="203"/>
      <c r="I46" s="204"/>
      <c r="J46" s="82">
        <f>(J43-J42)+(J45-J44)</f>
        <v>0</v>
      </c>
      <c r="K46" s="203"/>
      <c r="L46" s="204"/>
      <c r="M46" s="82">
        <f>(M43-M42)+(M45-M44)</f>
        <v>0.20833333333333337</v>
      </c>
      <c r="N46" s="203"/>
      <c r="O46" s="204"/>
      <c r="P46" s="82">
        <f>(P43-P42)+(P45-P44)</f>
        <v>0.16666666666666669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30.562500000000007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0.83333333333333348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0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1.7291666666666643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-1.7291666666666643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1</v>
      </c>
      <c r="AQ57" s="109">
        <f>IF(G43="",1,IF(G42="",1,IF((G43-G42)=TIME(0,0,0),1,0)))</f>
        <v>0</v>
      </c>
      <c r="AR57" s="109">
        <f>IF(J43="",1,IF(J42="",1,IF((J43-J42)=TIME(0,0,0),1,0)))</f>
        <v>1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0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1.7291666666666643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128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127" priority="42" stopIfTrue="1">
      <formula>IF(C5="S",TRUE,IF(C5="D",TRUE,FALSE))</formula>
    </cfRule>
  </conditionalFormatting>
  <conditionalFormatting sqref="AB49:AK49 AB53:AK53">
    <cfRule type="expression" dxfId="126" priority="41" stopIfTrue="1">
      <formula xml:space="preserve"> IF($G$38=100,IF($P$47&lt;$AI49,TRUE,FALSE),FALSE)</formula>
    </cfRule>
  </conditionalFormatting>
  <conditionalFormatting sqref="R34">
    <cfRule type="cellIs" dxfId="125" priority="39" stopIfTrue="1" operator="equal">
      <formula>"S"</formula>
    </cfRule>
    <cfRule type="cellIs" dxfId="124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123" priority="38" stopIfTrue="1">
      <formula>IF(C5="S",TRUE,IF(C5="D",TRUE,FALSE))</formula>
    </cfRule>
  </conditionalFormatting>
  <conditionalFormatting sqref="P47">
    <cfRule type="cellIs" dxfId="122" priority="36" stopIfTrue="1" operator="lessThan">
      <formula>1.33333333333333</formula>
    </cfRule>
    <cfRule type="cellIs" dxfId="121" priority="37" stopIfTrue="1" operator="greaterThan">
      <formula>1.83333333333333</formula>
    </cfRule>
  </conditionalFormatting>
  <conditionalFormatting sqref="E26:E27">
    <cfRule type="expression" dxfId="120" priority="35" stopIfTrue="1">
      <formula>IF(F26="S",TRUE, IF(F26="D", TRUE,FALSE))</formula>
    </cfRule>
  </conditionalFormatting>
  <conditionalFormatting sqref="E33:E34">
    <cfRule type="expression" dxfId="119" priority="34" stopIfTrue="1">
      <formula>IF(F33="S",TRUE, IF(F33="D", TRUE,FALSE))</formula>
    </cfRule>
  </conditionalFormatting>
  <conditionalFormatting sqref="H13">
    <cfRule type="expression" dxfId="118" priority="33" stopIfTrue="1">
      <formula>IF(I13="S",TRUE, IF(I13="D", TRUE,FALSE))</formula>
    </cfRule>
  </conditionalFormatting>
  <conditionalFormatting sqref="N8">
    <cfRule type="expression" dxfId="117" priority="32" stopIfTrue="1">
      <formula>IF(O8="S",TRUE, IF(O8="D", TRUE,FALSE))</formula>
    </cfRule>
  </conditionalFormatting>
  <conditionalFormatting sqref="K34:K35 K26:K28">
    <cfRule type="expression" dxfId="116" priority="31" stopIfTrue="1">
      <formula>IF(L26="S",TRUE, IF(L26="D", TRUE,FALSE))</formula>
    </cfRule>
  </conditionalFormatting>
  <conditionalFormatting sqref="T5:T8">
    <cfRule type="expression" dxfId="115" priority="30" stopIfTrue="1">
      <formula>IF(U5="S",TRUE, IF(U5="D", TRUE,FALSE))</formula>
    </cfRule>
  </conditionalFormatting>
  <conditionalFormatting sqref="Q26:Q30">
    <cfRule type="expression" dxfId="114" priority="29" stopIfTrue="1">
      <formula>IF(R26="S",TRUE, IF(R26="D", TRUE,FALSE))</formula>
    </cfRule>
  </conditionalFormatting>
  <conditionalFormatting sqref="Z20">
    <cfRule type="expression" dxfId="113" priority="28" stopIfTrue="1">
      <formula>IF(AA20="S",TRUE, IF(AA20="D", TRUE,FALSE))</formula>
    </cfRule>
  </conditionalFormatting>
  <conditionalFormatting sqref="W23">
    <cfRule type="expression" dxfId="112" priority="27" stopIfTrue="1">
      <formula>IF(X23="S",TRUE, IF(X23="D", TRUE,FALSE))</formula>
    </cfRule>
  </conditionalFormatting>
  <conditionalFormatting sqref="W29:W33">
    <cfRule type="expression" dxfId="111" priority="26" stopIfTrue="1">
      <formula>IF(X29="S",TRUE, IF(X29="D", TRUE,FALSE))</formula>
    </cfRule>
  </conditionalFormatting>
  <conditionalFormatting sqref="Z8 Z10">
    <cfRule type="expression" dxfId="110" priority="25" stopIfTrue="1">
      <formula>IF(AA8="S",TRUE, IF(AA8="D", TRUE,FALSE))</formula>
    </cfRule>
  </conditionalFormatting>
  <conditionalFormatting sqref="Z9">
    <cfRule type="expression" dxfId="109" priority="24" stopIfTrue="1">
      <formula>IF(AA9="S",TRUE, IF(AA9="D", TRUE,FALSE))</formula>
    </cfRule>
  </conditionalFormatting>
  <conditionalFormatting sqref="W10">
    <cfRule type="expression" dxfId="108" priority="23" stopIfTrue="1">
      <formula>IF(X10="S",TRUE, IF(X10="D", TRUE,FALSE))</formula>
    </cfRule>
  </conditionalFormatting>
  <conditionalFormatting sqref="AB29">
    <cfRule type="expression" dxfId="107" priority="22" stopIfTrue="1">
      <formula>IF(AA29="S",TRUE,IF(AA29="D",TRUE,FALSE))</formula>
    </cfRule>
  </conditionalFormatting>
  <conditionalFormatting sqref="Q33">
    <cfRule type="expression" dxfId="106" priority="21" stopIfTrue="1">
      <formula>IF(R33="S",TRUE, IF(R33="D", TRUE,FALSE))</formula>
    </cfRule>
  </conditionalFormatting>
  <conditionalFormatting sqref="T32">
    <cfRule type="expression" dxfId="105" priority="20" stopIfTrue="1">
      <formula>IF(U32="S",TRUE, IF(U32="D", TRUE,FALSE))</formula>
    </cfRule>
  </conditionalFormatting>
  <conditionalFormatting sqref="E23:E25">
    <cfRule type="expression" dxfId="104" priority="19" stopIfTrue="1">
      <formula>IF(F23="S",TRUE, IF(F23="D", TRUE,FALSE))</formula>
    </cfRule>
  </conditionalFormatting>
  <conditionalFormatting sqref="E28:E32">
    <cfRule type="expression" dxfId="103" priority="18" stopIfTrue="1">
      <formula>IF(F28="S",TRUE, IF(F28="D", TRUE,FALSE))</formula>
    </cfRule>
  </conditionalFormatting>
  <conditionalFormatting sqref="E35">
    <cfRule type="expression" dxfId="102" priority="17" stopIfTrue="1">
      <formula>IF(F35="S",TRUE, IF(F35="D", TRUE,FALSE))</formula>
    </cfRule>
  </conditionalFormatting>
  <conditionalFormatting sqref="G23:G25">
    <cfRule type="expression" dxfId="101" priority="16" stopIfTrue="1">
      <formula>IF(F23="S",TRUE,IF(F23="D",TRUE,FALSE))</formula>
    </cfRule>
  </conditionalFormatting>
  <conditionalFormatting sqref="G28:G32">
    <cfRule type="expression" dxfId="100" priority="15" stopIfTrue="1">
      <formula>IF(F28="S",TRUE,IF(F28="D",TRUE,FALSE))</formula>
    </cfRule>
  </conditionalFormatting>
  <conditionalFormatting sqref="G35">
    <cfRule type="expression" dxfId="99" priority="14" stopIfTrue="1">
      <formula>IF(F35="S",TRUE,IF(F35="D",TRUE,FALSE))</formula>
    </cfRule>
  </conditionalFormatting>
  <conditionalFormatting sqref="K30:K33">
    <cfRule type="expression" dxfId="98" priority="13" stopIfTrue="1">
      <formula>IF(L30="S",TRUE, IF(L30="D", TRUE,FALSE))</formula>
    </cfRule>
  </conditionalFormatting>
  <conditionalFormatting sqref="N6:N7">
    <cfRule type="expression" dxfId="97" priority="12" stopIfTrue="1">
      <formula>IF(O6="S",TRUE, IF(O6="D", TRUE,FALSE))</formula>
    </cfRule>
  </conditionalFormatting>
  <conditionalFormatting sqref="Q31:Q32">
    <cfRule type="expression" dxfId="96" priority="11" stopIfTrue="1">
      <formula>IF(R31="S",TRUE, IF(R31="D", TRUE,FALSE))</formula>
    </cfRule>
  </conditionalFormatting>
  <conditionalFormatting sqref="H5:H7">
    <cfRule type="expression" dxfId="95" priority="10" stopIfTrue="1">
      <formula>IF(I5="S",TRUE, IF(I5="D", TRUE,FALSE))</formula>
    </cfRule>
  </conditionalFormatting>
  <conditionalFormatting sqref="H15">
    <cfRule type="expression" dxfId="94" priority="9" stopIfTrue="1">
      <formula>IF(I15="S",TRUE, IF(I15="D", TRUE,FALSE))</formula>
    </cfRule>
  </conditionalFormatting>
  <conditionalFormatting sqref="T10:T12">
    <cfRule type="expression" dxfId="93" priority="8" stopIfTrue="1">
      <formula>IF(U10="S",TRUE, IF(U10="D", TRUE,FALSE))</formula>
    </cfRule>
  </conditionalFormatting>
  <conditionalFormatting sqref="W21">
    <cfRule type="expression" dxfId="92" priority="7" stopIfTrue="1">
      <formula>IF(X21="S",TRUE, IF(X21="D", TRUE,FALSE))</formula>
    </cfRule>
  </conditionalFormatting>
  <conditionalFormatting sqref="Z5:Z7">
    <cfRule type="expression" dxfId="91" priority="6" stopIfTrue="1">
      <formula>IF(AA5="S",TRUE, IF(AA5="D", TRUE,FALSE))</formula>
    </cfRule>
  </conditionalFormatting>
  <conditionalFormatting sqref="Z12:Z15">
    <cfRule type="expression" dxfId="90" priority="5" stopIfTrue="1">
      <formula>IF(AA12="S",TRUE, IF(AA12="D", TRUE,FALSE))</formula>
    </cfRule>
  </conditionalFormatting>
  <conditionalFormatting sqref="Z29">
    <cfRule type="expression" dxfId="89" priority="4" stopIfTrue="1">
      <formula>IF(AA29="S",TRUE, IF(AA29="D", TRUE,FALSE))</formula>
    </cfRule>
  </conditionalFormatting>
  <conditionalFormatting sqref="AB54:AK54">
    <cfRule type="expression" dxfId="88" priority="3" stopIfTrue="1">
      <formula>IF($P$47&gt;#REF!,TRUE,FALSE)</formula>
    </cfRule>
  </conditionalFormatting>
  <conditionalFormatting sqref="T9">
    <cfRule type="expression" dxfId="87" priority="2" stopIfTrue="1">
      <formula>IF(U9="S",TRUE, IF(U9="D", TRUE,FALSE))</formula>
    </cfRule>
  </conditionalFormatting>
  <conditionalFormatting sqref="Z11">
    <cfRule type="expression" dxfId="86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8065" r:id="rId4" name="ComboBox1"/>
  </controls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8">
    <tabColor rgb="FFFF0000"/>
    <pageSetUpPr fitToPage="1"/>
  </sheetPr>
  <dimension ref="B1:BA74"/>
  <sheetViews>
    <sheetView showGridLines="0" zoomScaleNormal="115" workbookViewId="0">
      <selection activeCell="AB40" sqref="AB40:AH40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2" si="0">IF(F5="L",$D$46,IF(F5="Ma",$G$46,IF(F5="Me",$J$46,IF(F5="J",$M$46,IF(F5="V",$P$46,"")))))</f>
        <v>0.20833333333333337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0.20833333333333337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0.20833333333333337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0.32291666666666669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0.32291666666666669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0.32291666666666669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f t="shared" si="9"/>
        <v>0.20833333333333337</v>
      </c>
      <c r="E7" s="33">
        <v>3</v>
      </c>
      <c r="F7" s="87" t="str">
        <f>CHOOSE(WEEKDAY(Calendrier!C7,2),"L","Ma","Me","J","V","S","D")</f>
        <v>Me</v>
      </c>
      <c r="G7" s="65">
        <f t="shared" si="0"/>
        <v>0.37499999999999994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0.20833333333333337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0.37499999999999994</v>
      </c>
      <c r="Z7" s="33">
        <v>3</v>
      </c>
      <c r="AA7" s="87" t="str">
        <f>CHOOSE(WEEKDAY(Calendrier!J7,2),"L","Ma","Me","J","V","S","D")</f>
        <v>V</v>
      </c>
      <c r="AB7" s="65">
        <f t="shared" si="10"/>
        <v>0</v>
      </c>
      <c r="AC7" s="33">
        <v>3</v>
      </c>
      <c r="AD7" s="87" t="str">
        <f>CHOOSE(WEEKDAY(Calendrier!K7,2),"L","Ma","Me","J","V","S","D")</f>
        <v>L</v>
      </c>
      <c r="AE7" s="100">
        <f t="shared" si="5"/>
        <v>0.20833333333333337</v>
      </c>
      <c r="AF7" s="33">
        <v>3</v>
      </c>
      <c r="AG7" s="87" t="str">
        <f>CHOOSE(WEEKDAY(Calendrier!L7,2),"L","Ma","Me","J","V","S","D")</f>
        <v>Me</v>
      </c>
      <c r="AH7" s="65">
        <f t="shared" si="6"/>
        <v>0.37499999999999994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f t="shared" si="9"/>
        <v>0.32291666666666669</v>
      </c>
      <c r="E8" s="33">
        <v>4</v>
      </c>
      <c r="F8" s="87" t="str">
        <f>CHOOSE(WEEKDAY(Calendrier!C8,2),"L","Ma","Me","J","V","S","D")</f>
        <v>J</v>
      </c>
      <c r="G8" s="65">
        <f t="shared" si="0"/>
        <v>0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0.32291666666666669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0.20833333333333337</v>
      </c>
      <c r="T8" s="33">
        <v>4</v>
      </c>
      <c r="U8" s="87" t="str">
        <f>CHOOSE(WEEKDAY(Calendrier!H8,2),"L","Ma","Me","J","V","S","D")</f>
        <v>L</v>
      </c>
      <c r="V8" s="100">
        <f t="shared" si="3"/>
        <v>0.20833333333333337</v>
      </c>
      <c r="W8" s="33">
        <v>4</v>
      </c>
      <c r="X8" s="87" t="str">
        <f>CHOOSE(WEEKDAY(Calendrier!I8,2),"L","Ma","Me","J","V","S","D")</f>
        <v>J</v>
      </c>
      <c r="Y8" s="65">
        <f t="shared" si="4"/>
        <v>0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0.32291666666666669</v>
      </c>
      <c r="AF8" s="33">
        <v>4</v>
      </c>
      <c r="AG8" s="87" t="str">
        <f>CHOOSE(WEEKDAY(Calendrier!L8,2),"L","Ma","Me","J","V","S","D")</f>
        <v>J</v>
      </c>
      <c r="AH8" s="65">
        <f t="shared" si="6"/>
        <v>0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0.37499999999999994</v>
      </c>
      <c r="E9" s="33">
        <v>5</v>
      </c>
      <c r="F9" s="87" t="str">
        <f>CHOOSE(WEEKDAY(Calendrier!C9,2),"L","Ma","Me","J","V","S","D")</f>
        <v>V</v>
      </c>
      <c r="G9" s="65">
        <f t="shared" si="0"/>
        <v>0</v>
      </c>
      <c r="H9" s="33">
        <v>5</v>
      </c>
      <c r="I9" s="87" t="str">
        <f>CHOOSE(WEEKDAY(Calendrier!D9,2),"L","Ma","Me","J","V","S","D")</f>
        <v>L</v>
      </c>
      <c r="J9" s="100">
        <f t="shared" si="11"/>
        <v>0.20833333333333337</v>
      </c>
      <c r="K9" s="33">
        <v>5</v>
      </c>
      <c r="L9" s="87" t="str">
        <f>CHOOSE(WEEKDAY(Calendrier!E9,2),"L","Ma","Me","J","V","S","D")</f>
        <v>Me</v>
      </c>
      <c r="M9" s="65">
        <f t="shared" si="1"/>
        <v>0.37499999999999994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0.32291666666666669</v>
      </c>
      <c r="T9" s="33">
        <v>5</v>
      </c>
      <c r="U9" s="87" t="str">
        <f>CHOOSE(WEEKDAY(Calendrier!H9,2),"L","Ma","Me","J","V","S","D")</f>
        <v>Ma</v>
      </c>
      <c r="V9" s="100">
        <f t="shared" si="3"/>
        <v>0.32291666666666669</v>
      </c>
      <c r="W9" s="33">
        <v>5</v>
      </c>
      <c r="X9" s="87" t="str">
        <f>CHOOSE(WEEKDAY(Calendrier!I9,2),"L","Ma","Me","J","V","S","D")</f>
        <v>V</v>
      </c>
      <c r="Y9" s="65">
        <f t="shared" si="4"/>
        <v>0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0.37499999999999994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0.32291666666666669</v>
      </c>
      <c r="K10" s="33">
        <v>6</v>
      </c>
      <c r="L10" s="87" t="str">
        <f>CHOOSE(WEEKDAY(Calendrier!E10,2),"L","Ma","Me","J","V","S","D")</f>
        <v>J</v>
      </c>
      <c r="M10" s="65">
        <f t="shared" si="1"/>
        <v>0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0.37499999999999994</v>
      </c>
      <c r="T10" s="33">
        <v>6</v>
      </c>
      <c r="U10" s="87" t="str">
        <f>CHOOSE(WEEKDAY(Calendrier!H10,2),"L","Ma","Me","J","V","S","D")</f>
        <v>Me</v>
      </c>
      <c r="V10" s="65">
        <f t="shared" si="3"/>
        <v>0.37499999999999994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0.20833333333333337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0.37499999999999994</v>
      </c>
      <c r="K11" s="33">
        <v>7</v>
      </c>
      <c r="L11" s="87" t="str">
        <f>CHOOSE(WEEKDAY(Calendrier!E11,2),"L","Ma","Me","J","V","S","D")</f>
        <v>V</v>
      </c>
      <c r="M11" s="65">
        <f t="shared" si="1"/>
        <v>0</v>
      </c>
      <c r="N11" s="33">
        <v>7</v>
      </c>
      <c r="O11" s="87" t="str">
        <f>CHOOSE(WEEKDAY(Calendrier!F11,2),"L","Ma","Me","J","V","S","D")</f>
        <v>L</v>
      </c>
      <c r="P11" s="100">
        <f t="shared" si="12"/>
        <v>0.20833333333333337</v>
      </c>
      <c r="Q11" s="33">
        <v>7</v>
      </c>
      <c r="R11" s="87" t="str">
        <f>CHOOSE(WEEKDAY(Calendrier!G11,2),"L","Ma","Me","J","V","S","D")</f>
        <v>J</v>
      </c>
      <c r="S11" s="65">
        <f t="shared" si="2"/>
        <v>0</v>
      </c>
      <c r="T11" s="33">
        <v>7</v>
      </c>
      <c r="U11" s="87" t="str">
        <f>CHOOSE(WEEKDAY(Calendrier!H11,2),"L","Ma","Me","J","V","S","D")</f>
        <v>J</v>
      </c>
      <c r="V11" s="65">
        <f t="shared" si="3"/>
        <v>0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0.32291666666666669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0.20833333333333337</v>
      </c>
      <c r="H12" s="33">
        <v>8</v>
      </c>
      <c r="I12" s="87" t="str">
        <f>CHOOSE(WEEKDAY(Calendrier!D12,2),"L","Ma","Me","J","V","S","D")</f>
        <v>J</v>
      </c>
      <c r="J12" s="65">
        <f t="shared" si="11"/>
        <v>0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0.32291666666666669</v>
      </c>
      <c r="Q12" s="33">
        <v>8</v>
      </c>
      <c r="R12" s="87" t="str">
        <f>CHOOSE(WEEKDAY(Calendrier!G12,2),"L","Ma","Me","J","V","S","D")</f>
        <v>V</v>
      </c>
      <c r="S12" s="65">
        <f t="shared" si="2"/>
        <v>0</v>
      </c>
      <c r="T12" s="33">
        <v>8</v>
      </c>
      <c r="U12" s="87" t="str">
        <f>CHOOSE(WEEKDAY(Calendrier!H12,2),"L","Ma","Me","J","V","S","D")</f>
        <v>V</v>
      </c>
      <c r="V12" s="65">
        <f t="shared" si="3"/>
        <v>0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0.32291666666666669</v>
      </c>
      <c r="H13" s="33">
        <v>9</v>
      </c>
      <c r="I13" s="87" t="str">
        <f>CHOOSE(WEEKDAY(Calendrier!D13,2),"L","Ma","Me","J","V","S","D")</f>
        <v>V</v>
      </c>
      <c r="J13" s="65">
        <f t="shared" si="11"/>
        <v>0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0.37499999999999994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0.20833333333333337</v>
      </c>
      <c r="E14" s="33">
        <v>10</v>
      </c>
      <c r="F14" s="87" t="str">
        <f>CHOOSE(WEEKDAY(Calendrier!C14,2),"L","Ma","Me","J","V","S","D")</f>
        <v>Me</v>
      </c>
      <c r="G14" s="65">
        <f t="shared" si="0"/>
        <v>0.37499999999999994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0.20833333333333337</v>
      </c>
      <c r="N14" s="33">
        <v>10</v>
      </c>
      <c r="O14" s="87" t="str">
        <f>CHOOSE(WEEKDAY(Calendrier!F14,2),"L","Ma","Me","J","V","S","D")</f>
        <v>J</v>
      </c>
      <c r="P14" s="65">
        <f t="shared" si="12"/>
        <v>0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0.32291666666666669</v>
      </c>
      <c r="E15" s="33">
        <v>11</v>
      </c>
      <c r="F15" s="87" t="str">
        <f>CHOOSE(WEEKDAY(Calendrier!C15,2),"L","Ma","Me","J","V","S","D")</f>
        <v>J</v>
      </c>
      <c r="G15" s="65">
        <f t="shared" si="0"/>
        <v>0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0.32291666666666669</v>
      </c>
      <c r="N15" s="33">
        <v>11</v>
      </c>
      <c r="O15" s="87" t="str">
        <f>CHOOSE(WEEKDAY(Calendrier!F15,2),"L","Ma","Me","J","V","S","D")</f>
        <v>V</v>
      </c>
      <c r="P15" s="65">
        <f t="shared" si="12"/>
        <v>0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0.20833333333333337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0.32291666666666669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0.37499999999999994</v>
      </c>
      <c r="E16" s="33">
        <v>12</v>
      </c>
      <c r="F16" s="87" t="str">
        <f>CHOOSE(WEEKDAY(Calendrier!C16,2),"L","Ma","Me","J","V","S","D")</f>
        <v>V</v>
      </c>
      <c r="G16" s="65">
        <f t="shared" si="0"/>
        <v>0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0.20833333333333337</v>
      </c>
      <c r="K16" s="33">
        <v>12</v>
      </c>
      <c r="L16" s="87" t="str">
        <f>CHOOSE(WEEKDAY(Calendrier!E16,2),"L","Ma","Me","J","V","S","D")</f>
        <v>Me</v>
      </c>
      <c r="M16" s="65">
        <f t="shared" si="1"/>
        <v>0.37499999999999994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0.32291666666666669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0.37499999999999994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0.32291666666666669</v>
      </c>
      <c r="K17" s="33">
        <v>13</v>
      </c>
      <c r="L17" s="87" t="str">
        <f>CHOOSE(WEEKDAY(Calendrier!E17,2),"L","Ma","Me","J","V","S","D")</f>
        <v>J</v>
      </c>
      <c r="M17" s="65">
        <f t="shared" si="1"/>
        <v>0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0.37499999999999994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0.20833333333333337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0.37499999999999994</v>
      </c>
      <c r="K18" s="33">
        <v>14</v>
      </c>
      <c r="L18" s="87" t="str">
        <f>CHOOSE(WEEKDAY(Calendrier!E18,2),"L","Ma","Me","J","V","S","D")</f>
        <v>V</v>
      </c>
      <c r="M18" s="65">
        <f t="shared" si="1"/>
        <v>0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0.20833333333333337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0.32291666666666669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0.20833333333333337</v>
      </c>
      <c r="H19" s="33">
        <v>15</v>
      </c>
      <c r="I19" s="87" t="str">
        <f>CHOOSE(WEEKDAY(Calendrier!D19,2),"L","Ma","Me","J","V","S","D")</f>
        <v>J</v>
      </c>
      <c r="J19" s="65">
        <f t="shared" si="11"/>
        <v>0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0.32291666666666669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0.37499999999999994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v>0.48958333333333331</v>
      </c>
      <c r="H20" s="33">
        <v>16</v>
      </c>
      <c r="I20" s="87" t="str">
        <f>CHOOSE(WEEKDAY(Calendrier!D20,2),"L","Ma","Me","J","V","S","D")</f>
        <v>V</v>
      </c>
      <c r="J20" s="65">
        <f t="shared" si="11"/>
        <v>0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0.37499999999999994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0.20833333333333337</v>
      </c>
      <c r="E21" s="33">
        <v>17</v>
      </c>
      <c r="F21" s="87" t="str">
        <f>CHOOSE(WEEKDAY(Calendrier!C21,2),"L","Ma","Me","J","V","S","D")</f>
        <v>Me</v>
      </c>
      <c r="G21" s="65">
        <f t="shared" si="0"/>
        <v>0.37499999999999994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0.20833333333333337</v>
      </c>
      <c r="N21" s="33">
        <v>17</v>
      </c>
      <c r="O21" s="87" t="str">
        <f>CHOOSE(WEEKDAY(Calendrier!F21,2),"L","Ma","Me","J","V","S","D")</f>
        <v>J</v>
      </c>
      <c r="P21" s="65">
        <f t="shared" si="12"/>
        <v>0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0.20833333333333337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0.32291666666666669</v>
      </c>
      <c r="E22" s="33">
        <v>18</v>
      </c>
      <c r="F22" s="87" t="str">
        <f>CHOOSE(WEEKDAY(Calendrier!C22,2),"L","Ma","Me","J","V","S","D")</f>
        <v>J</v>
      </c>
      <c r="G22" s="65">
        <f t="shared" si="0"/>
        <v>0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0.32291666666666669</v>
      </c>
      <c r="N22" s="33">
        <v>18</v>
      </c>
      <c r="O22" s="87" t="str">
        <f>CHOOSE(WEEKDAY(Calendrier!F22,2),"L","Ma","Me","J","V","S","D")</f>
        <v>V</v>
      </c>
      <c r="P22" s="65">
        <f t="shared" si="12"/>
        <v>0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0.20833333333333337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0.32291666666666669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0.37499999999999994</v>
      </c>
      <c r="E23" s="33">
        <v>19</v>
      </c>
      <c r="F23" s="87" t="str">
        <f>CHOOSE(WEEKDAY(Calendrier!C23,2),"L","Ma","Me","J","V","S","D")</f>
        <v>V</v>
      </c>
      <c r="G23" s="65">
        <v>0.10416666666666667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0.20833333333333337</v>
      </c>
      <c r="K23" s="33">
        <v>19</v>
      </c>
      <c r="L23" s="87" t="str">
        <f>CHOOSE(WEEKDAY(Calendrier!E23,2),"L","Ma","Me","J","V","S","D")</f>
        <v>Me</v>
      </c>
      <c r="M23" s="65">
        <f t="shared" si="1"/>
        <v>0.37499999999999994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0.32291666666666669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0.37499999999999994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0.32291666666666669</v>
      </c>
      <c r="K24" s="33">
        <v>20</v>
      </c>
      <c r="L24" s="87" t="str">
        <f>CHOOSE(WEEKDAY(Calendrier!E24,2),"L","Ma","Me","J","V","S","D")</f>
        <v>J</v>
      </c>
      <c r="M24" s="65">
        <f t="shared" si="1"/>
        <v>0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0.37499999999999994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0.20833333333333337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0.37499999999999994</v>
      </c>
      <c r="K25" s="33">
        <v>21</v>
      </c>
      <c r="L25" s="87" t="str">
        <f>CHOOSE(WEEKDAY(Calendrier!E25,2),"L","Ma","Me","J","V","S","D")</f>
        <v>V</v>
      </c>
      <c r="M25" s="65">
        <f t="shared" si="1"/>
        <v>0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0.20833333333333337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0.32291666666666669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0.32291666666666669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0.37499999999999994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0.37499999999999994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0.32291666666666669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0.20833333333333337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0.37499999999999994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0.20833333333333337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0.32291666666666669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</v>
      </c>
      <c r="Q29" s="33">
        <v>25</v>
      </c>
      <c r="R29" s="87" t="str">
        <f>CHOOSE(WEEKDAY(Calendrier!G29,2),"L","Ma","Me","J","V","S","D")</f>
        <v>L</v>
      </c>
      <c r="S29" s="100">
        <f t="shared" si="2"/>
        <v>0.20833333333333337</v>
      </c>
      <c r="T29" s="33">
        <v>25</v>
      </c>
      <c r="U29" s="87" t="str">
        <f>CHOOSE(WEEKDAY(Calendrier!H29,2),"L","Ma","Me","J","V","S","D")</f>
        <v>L</v>
      </c>
      <c r="V29" s="100">
        <f t="shared" si="3"/>
        <v>0.20833333333333337</v>
      </c>
      <c r="W29" s="33">
        <v>25</v>
      </c>
      <c r="X29" s="87" t="str">
        <f>CHOOSE(WEEKDAY(Calendrier!I29,2),"L","Ma","Me","J","V","S","D")</f>
        <v>J</v>
      </c>
      <c r="Y29" s="65">
        <f t="shared" si="4"/>
        <v>0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0.32291666666666669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0.37499999999999994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0.20833333333333337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0.32291666666666669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0.32291666666666669</v>
      </c>
      <c r="W30" s="33">
        <v>26</v>
      </c>
      <c r="X30" s="87" t="str">
        <f>CHOOSE(WEEKDAY(Calendrier!I30,2),"L","Ma","Me","J","V","S","D")</f>
        <v>V</v>
      </c>
      <c r="Y30" s="65">
        <f t="shared" si="4"/>
        <v>0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0.37499999999999994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0.32291666666666669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0.37499999999999994</v>
      </c>
      <c r="T31" s="33">
        <v>27</v>
      </c>
      <c r="U31" s="87" t="str">
        <f>CHOOSE(WEEKDAY(Calendrier!H31,2),"L","Ma","Me","J","V","S","D")</f>
        <v>Me</v>
      </c>
      <c r="V31" s="65">
        <f t="shared" si="3"/>
        <v>0.37499999999999994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0.20833333333333337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0.37499999999999994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0.20833333333333337</v>
      </c>
      <c r="Q32" s="33">
        <v>28</v>
      </c>
      <c r="R32" s="87" t="str">
        <f>CHOOSE(WEEKDAY(Calendrier!G32,2),"L","Ma","Me","J","V","S","D")</f>
        <v>J</v>
      </c>
      <c r="S32" s="65">
        <f t="shared" si="2"/>
        <v>0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0.32291666666666669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0.32291666666666669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</v>
      </c>
      <c r="W33" s="33">
        <v>29</v>
      </c>
      <c r="X33" s="87" t="str">
        <f>CHOOSE(WEEKDAY(Calendrier!I33,2),"L","Ma","Me","J","V","S","D")</f>
        <v>L</v>
      </c>
      <c r="Y33" s="100">
        <f t="shared" si="4"/>
        <v>0.20833333333333337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0.37499999999999994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0.37499999999999994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0.32291666666666669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3.625</v>
      </c>
      <c r="E36" s="39"/>
      <c r="F36" s="31"/>
      <c r="G36" s="37">
        <f>SUM(G5:G35)</f>
        <v>3.2395833333333335</v>
      </c>
      <c r="H36" s="40"/>
      <c r="I36" s="28"/>
      <c r="J36" s="38">
        <f>SUM(J5:J35)</f>
        <v>3.625</v>
      </c>
      <c r="K36" s="39"/>
      <c r="L36" s="31"/>
      <c r="M36" s="38">
        <f>SUM(M5:M35)</f>
        <v>2.71875</v>
      </c>
      <c r="N36" s="39"/>
      <c r="O36" s="32"/>
      <c r="P36" s="38">
        <f>SUM(P5:P35)</f>
        <v>3.625</v>
      </c>
      <c r="Q36" s="41"/>
      <c r="R36" s="29"/>
      <c r="S36" s="38">
        <f>SUM(S5:S35)</f>
        <v>1.8125000000000002</v>
      </c>
      <c r="T36" s="39"/>
      <c r="U36" s="32"/>
      <c r="V36" s="38">
        <f>SUM(V5:V35)</f>
        <v>3.625</v>
      </c>
      <c r="W36" s="39"/>
      <c r="X36" s="32"/>
      <c r="Y36" s="38">
        <f>SUM(Y5:Y34)</f>
        <v>2.1354166666666665</v>
      </c>
      <c r="Z36" s="39"/>
      <c r="AA36" s="32"/>
      <c r="AB36" s="38">
        <f>SUM(AB5:AB35)</f>
        <v>3.25</v>
      </c>
      <c r="AC36" s="39"/>
      <c r="AD36" s="32"/>
      <c r="AE36" s="38">
        <f>SUM(AE7:AE34)</f>
        <v>3.7916666666666665</v>
      </c>
      <c r="AF36" s="39"/>
      <c r="AG36" s="31"/>
      <c r="AH36" s="38">
        <f>SUM(AH5:AH34)</f>
        <v>1.28125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32.729166666666671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192"/>
      <c r="AC40" s="192"/>
      <c r="AD40" s="192"/>
      <c r="AE40" s="192"/>
      <c r="AF40" s="192"/>
      <c r="AG40" s="192"/>
      <c r="AH40" s="192"/>
      <c r="AI40" s="163"/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>
        <v>0.72916666666666663</v>
      </c>
      <c r="E42" s="199" t="s">
        <v>13</v>
      </c>
      <c r="F42" s="200"/>
      <c r="G42" s="81">
        <v>8.3333333333333329E-2</v>
      </c>
      <c r="H42" s="199" t="s">
        <v>14</v>
      </c>
      <c r="I42" s="200"/>
      <c r="J42" s="81">
        <v>0.38541666666666669</v>
      </c>
      <c r="K42" s="199" t="s">
        <v>15</v>
      </c>
      <c r="L42" s="200"/>
      <c r="M42" s="81"/>
      <c r="N42" s="199" t="s">
        <v>16</v>
      </c>
      <c r="O42" s="200"/>
      <c r="P42" s="81"/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>
        <v>0.9375</v>
      </c>
      <c r="E43" s="201"/>
      <c r="F43" s="202"/>
      <c r="G43" s="81">
        <v>0.20833333333333334</v>
      </c>
      <c r="H43" s="201"/>
      <c r="I43" s="202"/>
      <c r="J43" s="81">
        <v>0.76041666666666663</v>
      </c>
      <c r="K43" s="201"/>
      <c r="L43" s="202"/>
      <c r="M43" s="81"/>
      <c r="N43" s="201"/>
      <c r="O43" s="202"/>
      <c r="P43" s="81"/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>
        <v>0.27083333333333331</v>
      </c>
      <c r="H44" s="201"/>
      <c r="I44" s="202"/>
      <c r="J44" s="81"/>
      <c r="K44" s="201"/>
      <c r="L44" s="202"/>
      <c r="M44" s="81"/>
      <c r="N44" s="201"/>
      <c r="O44" s="202"/>
      <c r="P44" s="81"/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AI39-(AI41+AI42)</f>
        <v>32.291666666666671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>
        <v>0.46875</v>
      </c>
      <c r="H45" s="201"/>
      <c r="I45" s="202"/>
      <c r="J45" s="81"/>
      <c r="K45" s="201"/>
      <c r="L45" s="202"/>
      <c r="M45" s="81"/>
      <c r="N45" s="201"/>
      <c r="O45" s="202"/>
      <c r="P45" s="81"/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0.20833333333333337</v>
      </c>
      <c r="E46" s="203"/>
      <c r="F46" s="204"/>
      <c r="G46" s="82">
        <f>(G43-G42)+(G45-G44)</f>
        <v>0.32291666666666669</v>
      </c>
      <c r="H46" s="203"/>
      <c r="I46" s="204"/>
      <c r="J46" s="82">
        <f>(J43-J42)+(J45-J44)</f>
        <v>0.37499999999999994</v>
      </c>
      <c r="K46" s="203"/>
      <c r="L46" s="204"/>
      <c r="M46" s="82">
        <f>(M43-M42)+(M45-M44)</f>
        <v>0</v>
      </c>
      <c r="N46" s="203"/>
      <c r="O46" s="204"/>
      <c r="P46" s="82">
        <f>(P43-P42)+(P45-P44)</f>
        <v>0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32.729166666666671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0.90625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0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1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-0.4375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0.4375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0</v>
      </c>
      <c r="AQ57" s="109">
        <f>IF(G43="",1,IF(G42="",1,IF((G43-G42)=TIME(0,0,0),1,0)))</f>
        <v>0</v>
      </c>
      <c r="AR57" s="109">
        <f>IF(J43="",1,IF(J42="",1,IF((J43-J42)=TIME(0,0,0),1,0)))</f>
        <v>0</v>
      </c>
      <c r="AS57" s="109">
        <f>IF(M43="",1,IF(M42="",1,IF((M43-M42)=TIME(0,0,0),1,0)))</f>
        <v>1</v>
      </c>
      <c r="AT57" s="109">
        <f>IF(P43="",1,IF(P42="",1,IF((P43-P42)=TIME(0,0,0),1,0)))</f>
        <v>1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0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1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-0.4375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85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84" priority="42" stopIfTrue="1">
      <formula>IF(C5="S",TRUE,IF(C5="D",TRUE,FALSE))</formula>
    </cfRule>
  </conditionalFormatting>
  <conditionalFormatting sqref="AB49:AK49 AB53:AK53">
    <cfRule type="expression" dxfId="83" priority="41" stopIfTrue="1">
      <formula xml:space="preserve"> IF($G$38=100,IF($P$47&lt;$AI49,TRUE,FALSE),FALSE)</formula>
    </cfRule>
  </conditionalFormatting>
  <conditionalFormatting sqref="R34">
    <cfRule type="cellIs" dxfId="82" priority="39" stopIfTrue="1" operator="equal">
      <formula>"S"</formula>
    </cfRule>
    <cfRule type="cellIs" dxfId="81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80" priority="38" stopIfTrue="1">
      <formula>IF(C5="S",TRUE,IF(C5="D",TRUE,FALSE))</formula>
    </cfRule>
  </conditionalFormatting>
  <conditionalFormatting sqref="P47">
    <cfRule type="cellIs" dxfId="79" priority="36" stopIfTrue="1" operator="lessThan">
      <formula>1.33333333333333</formula>
    </cfRule>
    <cfRule type="cellIs" dxfId="78" priority="37" stopIfTrue="1" operator="greaterThan">
      <formula>1.83333333333333</formula>
    </cfRule>
  </conditionalFormatting>
  <conditionalFormatting sqref="E26:E27">
    <cfRule type="expression" dxfId="77" priority="35" stopIfTrue="1">
      <formula>IF(F26="S",TRUE, IF(F26="D", TRUE,FALSE))</formula>
    </cfRule>
  </conditionalFormatting>
  <conditionalFormatting sqref="E33:E34">
    <cfRule type="expression" dxfId="76" priority="34" stopIfTrue="1">
      <formula>IF(F33="S",TRUE, IF(F33="D", TRUE,FALSE))</formula>
    </cfRule>
  </conditionalFormatting>
  <conditionalFormatting sqref="H13">
    <cfRule type="expression" dxfId="75" priority="33" stopIfTrue="1">
      <formula>IF(I13="S",TRUE, IF(I13="D", TRUE,FALSE))</formula>
    </cfRule>
  </conditionalFormatting>
  <conditionalFormatting sqref="N8">
    <cfRule type="expression" dxfId="74" priority="32" stopIfTrue="1">
      <formula>IF(O8="S",TRUE, IF(O8="D", TRUE,FALSE))</formula>
    </cfRule>
  </conditionalFormatting>
  <conditionalFormatting sqref="K34:K35 K26:K28">
    <cfRule type="expression" dxfId="73" priority="31" stopIfTrue="1">
      <formula>IF(L26="S",TRUE, IF(L26="D", TRUE,FALSE))</formula>
    </cfRule>
  </conditionalFormatting>
  <conditionalFormatting sqref="T5:T8">
    <cfRule type="expression" dxfId="72" priority="30" stopIfTrue="1">
      <formula>IF(U5="S",TRUE, IF(U5="D", TRUE,FALSE))</formula>
    </cfRule>
  </conditionalFormatting>
  <conditionalFormatting sqref="Q26:Q30">
    <cfRule type="expression" dxfId="71" priority="29" stopIfTrue="1">
      <formula>IF(R26="S",TRUE, IF(R26="D", TRUE,FALSE))</formula>
    </cfRule>
  </conditionalFormatting>
  <conditionalFormatting sqref="Z20">
    <cfRule type="expression" dxfId="70" priority="28" stopIfTrue="1">
      <formula>IF(AA20="S",TRUE, IF(AA20="D", TRUE,FALSE))</formula>
    </cfRule>
  </conditionalFormatting>
  <conditionalFormatting sqref="W23">
    <cfRule type="expression" dxfId="69" priority="27" stopIfTrue="1">
      <formula>IF(X23="S",TRUE, IF(X23="D", TRUE,FALSE))</formula>
    </cfRule>
  </conditionalFormatting>
  <conditionalFormatting sqref="W29:W33">
    <cfRule type="expression" dxfId="68" priority="26" stopIfTrue="1">
      <formula>IF(X29="S",TRUE, IF(X29="D", TRUE,FALSE))</formula>
    </cfRule>
  </conditionalFormatting>
  <conditionalFormatting sqref="Z8 Z10">
    <cfRule type="expression" dxfId="67" priority="25" stopIfTrue="1">
      <formula>IF(AA8="S",TRUE, IF(AA8="D", TRUE,FALSE))</formula>
    </cfRule>
  </conditionalFormatting>
  <conditionalFormatting sqref="Z9">
    <cfRule type="expression" dxfId="66" priority="24" stopIfTrue="1">
      <formula>IF(AA9="S",TRUE, IF(AA9="D", TRUE,FALSE))</formula>
    </cfRule>
  </conditionalFormatting>
  <conditionalFormatting sqref="W10">
    <cfRule type="expression" dxfId="65" priority="23" stopIfTrue="1">
      <formula>IF(X10="S",TRUE, IF(X10="D", TRUE,FALSE))</formula>
    </cfRule>
  </conditionalFormatting>
  <conditionalFormatting sqref="AB29">
    <cfRule type="expression" dxfId="64" priority="22" stopIfTrue="1">
      <formula>IF(AA29="S",TRUE,IF(AA29="D",TRUE,FALSE))</formula>
    </cfRule>
  </conditionalFormatting>
  <conditionalFormatting sqref="Q33">
    <cfRule type="expression" dxfId="63" priority="21" stopIfTrue="1">
      <formula>IF(R33="S",TRUE, IF(R33="D", TRUE,FALSE))</formula>
    </cfRule>
  </conditionalFormatting>
  <conditionalFormatting sqref="T32">
    <cfRule type="expression" dxfId="62" priority="20" stopIfTrue="1">
      <formula>IF(U32="S",TRUE, IF(U32="D", TRUE,FALSE))</formula>
    </cfRule>
  </conditionalFormatting>
  <conditionalFormatting sqref="E23:E25">
    <cfRule type="expression" dxfId="61" priority="19" stopIfTrue="1">
      <formula>IF(F23="S",TRUE, IF(F23="D", TRUE,FALSE))</formula>
    </cfRule>
  </conditionalFormatting>
  <conditionalFormatting sqref="E28:E32">
    <cfRule type="expression" dxfId="60" priority="18" stopIfTrue="1">
      <formula>IF(F28="S",TRUE, IF(F28="D", TRUE,FALSE))</formula>
    </cfRule>
  </conditionalFormatting>
  <conditionalFormatting sqref="E35">
    <cfRule type="expression" dxfId="59" priority="17" stopIfTrue="1">
      <formula>IF(F35="S",TRUE, IF(F35="D", TRUE,FALSE))</formula>
    </cfRule>
  </conditionalFormatting>
  <conditionalFormatting sqref="G23:G25">
    <cfRule type="expression" dxfId="58" priority="16" stopIfTrue="1">
      <formula>IF(F23="S",TRUE,IF(F23="D",TRUE,FALSE))</formula>
    </cfRule>
  </conditionalFormatting>
  <conditionalFormatting sqref="G28:G32">
    <cfRule type="expression" dxfId="57" priority="15" stopIfTrue="1">
      <formula>IF(F28="S",TRUE,IF(F28="D",TRUE,FALSE))</formula>
    </cfRule>
  </conditionalFormatting>
  <conditionalFormatting sqref="G35">
    <cfRule type="expression" dxfId="56" priority="14" stopIfTrue="1">
      <formula>IF(F35="S",TRUE,IF(F35="D",TRUE,FALSE))</formula>
    </cfRule>
  </conditionalFormatting>
  <conditionalFormatting sqref="K30:K33">
    <cfRule type="expression" dxfId="55" priority="13" stopIfTrue="1">
      <formula>IF(L30="S",TRUE, IF(L30="D", TRUE,FALSE))</formula>
    </cfRule>
  </conditionalFormatting>
  <conditionalFormatting sqref="N6:N7">
    <cfRule type="expression" dxfId="54" priority="12" stopIfTrue="1">
      <formula>IF(O6="S",TRUE, IF(O6="D", TRUE,FALSE))</formula>
    </cfRule>
  </conditionalFormatting>
  <conditionalFormatting sqref="Q31:Q32">
    <cfRule type="expression" dxfId="53" priority="11" stopIfTrue="1">
      <formula>IF(R31="S",TRUE, IF(R31="D", TRUE,FALSE))</formula>
    </cfRule>
  </conditionalFormatting>
  <conditionalFormatting sqref="H5:H7">
    <cfRule type="expression" dxfId="52" priority="10" stopIfTrue="1">
      <formula>IF(I5="S",TRUE, IF(I5="D", TRUE,FALSE))</formula>
    </cfRule>
  </conditionalFormatting>
  <conditionalFormatting sqref="H15">
    <cfRule type="expression" dxfId="51" priority="9" stopIfTrue="1">
      <formula>IF(I15="S",TRUE, IF(I15="D", TRUE,FALSE))</formula>
    </cfRule>
  </conditionalFormatting>
  <conditionalFormatting sqref="T10:T12">
    <cfRule type="expression" dxfId="50" priority="8" stopIfTrue="1">
      <formula>IF(U10="S",TRUE, IF(U10="D", TRUE,FALSE))</formula>
    </cfRule>
  </conditionalFormatting>
  <conditionalFormatting sqref="W21">
    <cfRule type="expression" dxfId="49" priority="7" stopIfTrue="1">
      <formula>IF(X21="S",TRUE, IF(X21="D", TRUE,FALSE))</formula>
    </cfRule>
  </conditionalFormatting>
  <conditionalFormatting sqref="Z5:Z7">
    <cfRule type="expression" dxfId="48" priority="6" stopIfTrue="1">
      <formula>IF(AA5="S",TRUE, IF(AA5="D", TRUE,FALSE))</formula>
    </cfRule>
  </conditionalFormatting>
  <conditionalFormatting sqref="Z12:Z15">
    <cfRule type="expression" dxfId="47" priority="5" stopIfTrue="1">
      <formula>IF(AA12="S",TRUE, IF(AA12="D", TRUE,FALSE))</formula>
    </cfRule>
  </conditionalFormatting>
  <conditionalFormatting sqref="Z29">
    <cfRule type="expression" dxfId="46" priority="4" stopIfTrue="1">
      <formula>IF(AA29="S",TRUE, IF(AA29="D", TRUE,FALSE))</formula>
    </cfRule>
  </conditionalFormatting>
  <conditionalFormatting sqref="AB54:AK54">
    <cfRule type="expression" dxfId="45" priority="3" stopIfTrue="1">
      <formula>IF($P$47&gt;#REF!,TRUE,FALSE)</formula>
    </cfRule>
  </conditionalFormatting>
  <conditionalFormatting sqref="T9">
    <cfRule type="expression" dxfId="44" priority="2" stopIfTrue="1">
      <formula>IF(U9="S",TRUE, IF(U9="D", TRUE,FALSE))</formula>
    </cfRule>
  </conditionalFormatting>
  <conditionalFormatting sqref="Z11">
    <cfRule type="expression" dxfId="43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84993" r:id="rId4" name="ComboBox1"/>
  </controls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tabColor rgb="FFFF0000"/>
    <pageSetUpPr fitToPage="1"/>
  </sheetPr>
  <dimension ref="B1:BA74"/>
  <sheetViews>
    <sheetView showGridLines="0" zoomScaleNormal="115" workbookViewId="0">
      <selection activeCell="AB40" sqref="AB40:AH40"/>
    </sheetView>
  </sheetViews>
  <sheetFormatPr baseColWidth="10" defaultRowHeight="12.75"/>
  <cols>
    <col min="1" max="1" width="2.42578125" customWidth="1"/>
    <col min="2" max="2" width="2.85546875" customWidth="1"/>
    <col min="3" max="3" width="1.5703125" style="9" customWidth="1"/>
    <col min="4" max="4" width="5.7109375" customWidth="1"/>
    <col min="5" max="5" width="2.85546875" style="9" customWidth="1"/>
    <col min="6" max="6" width="1.5703125" customWidth="1"/>
    <col min="7" max="7" width="5.7109375" style="9" customWidth="1"/>
    <col min="8" max="8" width="2.85546875" customWidth="1"/>
    <col min="9" max="9" width="1.5703125" style="9" customWidth="1"/>
    <col min="10" max="10" width="5.7109375" customWidth="1"/>
    <col min="11" max="11" width="2.85546875" style="9" customWidth="1"/>
    <col min="12" max="12" width="1.5703125" customWidth="1"/>
    <col min="13" max="13" width="5.7109375" style="9" customWidth="1"/>
    <col min="14" max="14" width="2.85546875" customWidth="1"/>
    <col min="15" max="15" width="1.85546875" style="9" customWidth="1"/>
    <col min="16" max="16" width="5.7109375" customWidth="1"/>
    <col min="17" max="17" width="2.85546875" style="9" customWidth="1"/>
    <col min="18" max="18" width="1.5703125" customWidth="1"/>
    <col min="19" max="19" width="7.5703125" style="9" customWidth="1"/>
    <col min="20" max="20" width="2.85546875" customWidth="1"/>
    <col min="21" max="21" width="1.5703125" style="9" customWidth="1"/>
    <col min="22" max="22" width="5.7109375" customWidth="1"/>
    <col min="23" max="23" width="2.85546875" style="9" customWidth="1"/>
    <col min="24" max="24" width="3.42578125" customWidth="1"/>
    <col min="25" max="25" width="5.7109375" style="9" customWidth="1"/>
    <col min="26" max="26" width="2.85546875" customWidth="1"/>
    <col min="27" max="27" width="1.5703125" customWidth="1"/>
    <col min="28" max="28" width="5.7109375" customWidth="1"/>
    <col min="29" max="29" width="2.85546875" customWidth="1"/>
    <col min="30" max="30" width="1.5703125" customWidth="1"/>
    <col min="31" max="31" width="5.7109375" customWidth="1"/>
    <col min="32" max="32" width="3.140625" customWidth="1"/>
    <col min="33" max="33" width="1.5703125" customWidth="1"/>
    <col min="34" max="34" width="5.7109375" customWidth="1"/>
    <col min="35" max="35" width="3.28515625" customWidth="1"/>
    <col min="36" max="36" width="1.5703125" customWidth="1"/>
    <col min="37" max="37" width="9.28515625" customWidth="1"/>
    <col min="38" max="38" width="0.5703125" customWidth="1"/>
    <col min="39" max="48" width="2" customWidth="1"/>
    <col min="49" max="49" width="3.140625" customWidth="1"/>
    <col min="50" max="50" width="3.42578125" customWidth="1"/>
  </cols>
  <sheetData>
    <row r="1" spans="2:53" ht="19.5" customHeight="1">
      <c r="B1" s="99" t="s">
        <v>64</v>
      </c>
      <c r="C1" s="99"/>
      <c r="D1" s="99"/>
      <c r="E1" s="216"/>
      <c r="F1" s="216"/>
      <c r="G1" s="216" t="s">
        <v>94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2:53" ht="16.5" customHeight="1">
      <c r="B2" s="217" t="str">
        <f>CONCATENATE("Planning prévisionnel ",Calendrier!B2," - ",Calendrier!C2)</f>
        <v>Planning prévisionnel 2018 - 2019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M2" s="67" t="s">
        <v>29</v>
      </c>
      <c r="AN2" s="67" t="s">
        <v>30</v>
      </c>
      <c r="AO2" s="67" t="s">
        <v>31</v>
      </c>
      <c r="AP2" s="67" t="s">
        <v>32</v>
      </c>
      <c r="AQ2" s="67" t="s">
        <v>33</v>
      </c>
      <c r="AR2" s="67" t="s">
        <v>34</v>
      </c>
      <c r="AS2" s="67" t="s">
        <v>35</v>
      </c>
      <c r="AT2" s="67" t="s">
        <v>34</v>
      </c>
      <c r="AU2" s="67" t="s">
        <v>32</v>
      </c>
      <c r="AV2" s="67" t="s">
        <v>32</v>
      </c>
      <c r="AW2" s="67" t="s">
        <v>35</v>
      </c>
      <c r="AX2" s="67"/>
      <c r="AY2" s="68"/>
      <c r="AZ2" s="68"/>
      <c r="BA2" s="68"/>
    </row>
    <row r="3" spans="2:53" ht="7.5" customHeight="1" thickBot="1"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8"/>
      <c r="AZ3" s="68"/>
      <c r="BA3" s="68"/>
    </row>
    <row r="4" spans="2:53" s="1" customFormat="1" ht="12" customHeight="1">
      <c r="B4" s="218" t="s">
        <v>8</v>
      </c>
      <c r="C4" s="219"/>
      <c r="D4" s="220"/>
      <c r="E4" s="218" t="s">
        <v>9</v>
      </c>
      <c r="F4" s="219"/>
      <c r="G4" s="221"/>
      <c r="H4" s="218" t="s">
        <v>10</v>
      </c>
      <c r="I4" s="219"/>
      <c r="J4" s="220"/>
      <c r="K4" s="218" t="s">
        <v>11</v>
      </c>
      <c r="L4" s="219"/>
      <c r="M4" s="220"/>
      <c r="N4" s="218" t="s">
        <v>0</v>
      </c>
      <c r="O4" s="219"/>
      <c r="P4" s="220"/>
      <c r="Q4" s="218" t="s">
        <v>1</v>
      </c>
      <c r="R4" s="219"/>
      <c r="S4" s="220"/>
      <c r="T4" s="218" t="s">
        <v>2</v>
      </c>
      <c r="U4" s="219"/>
      <c r="V4" s="220"/>
      <c r="W4" s="218" t="s">
        <v>3</v>
      </c>
      <c r="X4" s="219"/>
      <c r="Y4" s="220"/>
      <c r="Z4" s="218" t="s">
        <v>4</v>
      </c>
      <c r="AA4" s="219"/>
      <c r="AB4" s="220"/>
      <c r="AC4" s="218" t="s">
        <v>5</v>
      </c>
      <c r="AD4" s="219"/>
      <c r="AE4" s="220"/>
      <c r="AF4" s="218" t="s">
        <v>6</v>
      </c>
      <c r="AG4" s="219"/>
      <c r="AH4" s="220"/>
      <c r="AI4" s="218" t="s">
        <v>7</v>
      </c>
      <c r="AJ4" s="219"/>
      <c r="AK4" s="220"/>
      <c r="AL4" s="13"/>
      <c r="AM4" s="98" t="s">
        <v>55</v>
      </c>
      <c r="AN4" s="98" t="s">
        <v>56</v>
      </c>
      <c r="AO4" s="98" t="s">
        <v>57</v>
      </c>
      <c r="AP4" s="98" t="s">
        <v>58</v>
      </c>
      <c r="AQ4" s="98" t="s">
        <v>59</v>
      </c>
      <c r="AR4" s="98" t="s">
        <v>60</v>
      </c>
      <c r="AS4" s="98" t="s">
        <v>61</v>
      </c>
      <c r="AT4" s="98" t="s">
        <v>62</v>
      </c>
      <c r="AU4" s="98" t="s">
        <v>61</v>
      </c>
      <c r="AV4" s="98" t="s">
        <v>59</v>
      </c>
      <c r="AW4" s="98" t="s">
        <v>59</v>
      </c>
      <c r="AX4" s="98" t="s">
        <v>56</v>
      </c>
      <c r="AY4" s="98"/>
      <c r="AZ4" s="102"/>
      <c r="BA4" s="102"/>
    </row>
    <row r="5" spans="2:53" s="1" customFormat="1" ht="12" customHeight="1">
      <c r="B5" s="33">
        <v>1</v>
      </c>
      <c r="C5" s="87" t="str">
        <f>CHOOSE(WEEKDAY(Calendrier!B5,2),"L","Ma","Me","J","V","S","D")</f>
        <v>S</v>
      </c>
      <c r="D5" s="65" t="str">
        <f>IF(C5="L",$D$46,IF(C5="Ma",$G$46,IF(C5="Me",$J$46,IF(C5="J",$M$46,IF(C5="V",$P$46,"")))))</f>
        <v/>
      </c>
      <c r="E5" s="33">
        <v>1</v>
      </c>
      <c r="F5" s="87" t="str">
        <f>CHOOSE(WEEKDAY(Calendrier!C5,2),"L","Ma","Me","J","V","S","D")</f>
        <v>L</v>
      </c>
      <c r="G5" s="100">
        <f t="shared" ref="G5:G23" si="0">IF(F5="L",$D$46,IF(F5="Ma",$G$46,IF(F5="Me",$J$46,IF(F5="J",$M$46,IF(F5="V",$P$46,"")))))</f>
        <v>0</v>
      </c>
      <c r="H5" s="33">
        <v>1</v>
      </c>
      <c r="I5" s="87" t="str">
        <f>CHOOSE(WEEKDAY(Calendrier!D5,2),"L","Ma","Me","J","V","S","D")</f>
        <v>J</v>
      </c>
      <c r="J5" s="101"/>
      <c r="K5" s="33">
        <v>1</v>
      </c>
      <c r="L5" s="87" t="str">
        <f>CHOOSE(WEEKDAY(Calendrier!E5,2),"L","Ma","Me","J","V","S","D")</f>
        <v>S</v>
      </c>
      <c r="M5" s="65" t="str">
        <f t="shared" ref="M5:M25" si="1">IF(L5="L",$D$46,IF(L5="Ma",$G$46,IF(L5="Me",$J$46,IF(L5="J",$M$46,IF(L5="V",$P$46,"")))))</f>
        <v/>
      </c>
      <c r="N5" s="59">
        <v>1</v>
      </c>
      <c r="O5" s="88" t="str">
        <f>CHOOSE(WEEKDAY(Calendrier!F5,2),"L","Ma","Me","J","V","S","D")</f>
        <v>Ma</v>
      </c>
      <c r="P5" s="101"/>
      <c r="Q5" s="33">
        <v>1</v>
      </c>
      <c r="R5" s="87" t="str">
        <f>CHOOSE(WEEKDAY(Calendrier!G5,2),"L","Ma","Me","J","V","S","D")</f>
        <v>V</v>
      </c>
      <c r="S5" s="65">
        <f t="shared" ref="S5:S32" si="2">IF(R5="L",$D$46,IF(R5="Ma",$G$46,IF(R5="Me",$J$46,IF(R5="J",$M$46,IF(R5="V",$P$46,"")))))</f>
        <v>0.16666666666666669</v>
      </c>
      <c r="T5" s="33">
        <v>1</v>
      </c>
      <c r="U5" s="87" t="str">
        <f>CHOOSE(WEEKDAY(Calendrier!H5,2),"L","Ma","Me","J","V","S","D")</f>
        <v>V</v>
      </c>
      <c r="V5" s="65">
        <f t="shared" ref="V5:V35" si="3">IF(U5="L",$D$46,IF(U5="Ma",$G$46,IF(U5="Me",$J$46,IF(U5="J",$M$46,IF(U5="V",$P$46,"")))))</f>
        <v>0.16666666666666669</v>
      </c>
      <c r="W5" s="33">
        <v>1</v>
      </c>
      <c r="X5" s="87" t="str">
        <f>CHOOSE(WEEKDAY(Calendrier!I5,2),"L","Ma","Me","J","V","S","D")</f>
        <v>L</v>
      </c>
      <c r="Y5" s="100">
        <f t="shared" ref="Y5:Y34" si="4">IF(X5="L",$D$46,IF(X5="Ma",$G$46,IF(X5="Me",$J$46,IF(X5="J",$M$46,IF(X5="V",$P$46,"")))))</f>
        <v>0</v>
      </c>
      <c r="Z5" s="33">
        <v>1</v>
      </c>
      <c r="AA5" s="87" t="str">
        <f>CHOOSE(WEEKDAY(Calendrier!J5,2),"L","Ma","Me","J","V","S","D")</f>
        <v>Me</v>
      </c>
      <c r="AB5" s="101"/>
      <c r="AC5" s="33">
        <v>1</v>
      </c>
      <c r="AD5" s="87" t="str">
        <f>CHOOSE(WEEKDAY(Calendrier!K5,2),"L","Ma","Me","J","V","S","D")</f>
        <v>S</v>
      </c>
      <c r="AE5" s="65" t="str">
        <f t="shared" ref="AE5:AE34" si="5">IF(AD5="L",$D$46,IF(AD5="Ma",$G$46,IF(AD5="Me",$J$46,IF(AD5="J",$M$46,IF(AD5="V",$P$46,"")))))</f>
        <v/>
      </c>
      <c r="AF5" s="33">
        <v>1</v>
      </c>
      <c r="AG5" s="87" t="str">
        <f>CHOOSE(WEEKDAY(Calendrier!L5,2),"L","Ma","Me","J","V","S","D")</f>
        <v>L</v>
      </c>
      <c r="AH5" s="100">
        <f t="shared" ref="AH5:AH11" si="6">IF(AG5="L",$D$46,IF(AG5="Ma",$G$46,IF(AG5="Me",$J$46,IF(AG5="J",$M$46,IF(AG5="V",$P$46,"")))))</f>
        <v>0</v>
      </c>
      <c r="AI5" s="113">
        <v>1</v>
      </c>
      <c r="AJ5" s="114" t="str">
        <f>CHOOSE(WEEKDAY(Calendrier!M5,2),"L","Ma","Me","J","V","S","D")</f>
        <v>J</v>
      </c>
      <c r="AK5" s="115"/>
      <c r="AL5" s="13"/>
      <c r="AM5" s="98"/>
      <c r="AN5" s="98"/>
      <c r="AO5" s="98"/>
      <c r="AP5" s="98"/>
      <c r="AQ5" s="98"/>
      <c r="AR5" s="98"/>
      <c r="AS5" s="98">
        <f t="shared" ref="AS5:AS11" si="7">IF(V5&lt;&gt;"",1,)</f>
        <v>1</v>
      </c>
      <c r="AT5" s="98"/>
      <c r="AU5" s="98"/>
      <c r="AV5" s="98"/>
      <c r="AW5" s="98"/>
      <c r="AX5" s="98">
        <f t="shared" ref="AX5:AX18" si="8">IF(AK5&lt;&gt;"",1,)</f>
        <v>0</v>
      </c>
      <c r="AY5" s="98"/>
      <c r="AZ5" s="102"/>
      <c r="BA5" s="102"/>
    </row>
    <row r="6" spans="2:53" s="1" customFormat="1" ht="12" customHeight="1">
      <c r="B6" s="111">
        <v>2</v>
      </c>
      <c r="C6" s="87" t="str">
        <f>CHOOSE(WEEKDAY(Calendrier!B6,2),"L","Ma","Me","J","V","S","D")</f>
        <v>D</v>
      </c>
      <c r="D6" s="65" t="str">
        <f t="shared" ref="D6:D34" si="9">IF(C6="L",$D$46,IF(C6="Ma",$G$46,IF(C6="Me",$J$46,IF(C6="J",$M$46,IF(C6="V",$P$46,"")))))</f>
        <v/>
      </c>
      <c r="E6" s="33">
        <v>2</v>
      </c>
      <c r="F6" s="87" t="str">
        <f>CHOOSE(WEEKDAY(Calendrier!C6,2),"L","Ma","Me","J","V","S","D")</f>
        <v>Ma</v>
      </c>
      <c r="G6" s="100">
        <f t="shared" si="0"/>
        <v>0.38194444444444453</v>
      </c>
      <c r="H6" s="33">
        <v>2</v>
      </c>
      <c r="I6" s="87" t="str">
        <f>CHOOSE(WEEKDAY(Calendrier!D6,2),"L","Ma","Me","J","V","S","D")</f>
        <v>V</v>
      </c>
      <c r="J6" s="115"/>
      <c r="K6" s="33">
        <v>2</v>
      </c>
      <c r="L6" s="87" t="str">
        <f>CHOOSE(WEEKDAY(Calendrier!E6,2),"L","Ma","Me","J","V","S","D")</f>
        <v>D</v>
      </c>
      <c r="M6" s="65" t="str">
        <f t="shared" si="1"/>
        <v/>
      </c>
      <c r="N6" s="113">
        <v>2</v>
      </c>
      <c r="O6" s="114" t="str">
        <f>CHOOSE(WEEKDAY(Calendrier!F6,2),"L","Ma","Me","J","V","S","D")</f>
        <v>Me</v>
      </c>
      <c r="P6" s="115"/>
      <c r="Q6" s="33">
        <v>2</v>
      </c>
      <c r="R6" s="87" t="str">
        <f>CHOOSE(WEEKDAY(Calendrier!G6,2),"L","Ma","Me","J","V","S","D")</f>
        <v>S</v>
      </c>
      <c r="S6" s="65" t="str">
        <f t="shared" si="2"/>
        <v/>
      </c>
      <c r="T6" s="33">
        <v>2</v>
      </c>
      <c r="U6" s="87" t="str">
        <f>CHOOSE(WEEKDAY(Calendrier!H6,2),"L","Ma","Me","J","V","S","D")</f>
        <v>S</v>
      </c>
      <c r="V6" s="65" t="str">
        <f t="shared" si="3"/>
        <v/>
      </c>
      <c r="W6" s="33">
        <v>2</v>
      </c>
      <c r="X6" s="87" t="str">
        <f>CHOOSE(WEEKDAY(Calendrier!I6,2),"L","Ma","Me","J","V","S","D")</f>
        <v>Ma</v>
      </c>
      <c r="Y6" s="100">
        <f t="shared" si="4"/>
        <v>0.38194444444444453</v>
      </c>
      <c r="Z6" s="33">
        <v>2</v>
      </c>
      <c r="AA6" s="87" t="str">
        <f>CHOOSE(WEEKDAY(Calendrier!J6,2),"L","Ma","Me","J","V","S","D")</f>
        <v>J</v>
      </c>
      <c r="AB6" s="65">
        <f t="shared" ref="AB6:AB35" si="10">IF(AA6="L",$D$46,IF(AA6="Ma",$G$46,IF(AA6="Me",$J$46,IF(AA6="J",$M$46,IF(AA6="V",$P$46,"")))))</f>
        <v>0.20833333333333337</v>
      </c>
      <c r="AC6" s="33">
        <v>2</v>
      </c>
      <c r="AD6" s="87" t="str">
        <f>CHOOSE(WEEKDAY(Calendrier!K6,2),"L","Ma","Me","J","V","S","D")</f>
        <v>D</v>
      </c>
      <c r="AE6" s="65" t="str">
        <f t="shared" si="5"/>
        <v/>
      </c>
      <c r="AF6" s="33">
        <v>2</v>
      </c>
      <c r="AG6" s="87" t="str">
        <f>CHOOSE(WEEKDAY(Calendrier!L6,2),"L","Ma","Me","J","V","S","D")</f>
        <v>Ma</v>
      </c>
      <c r="AH6" s="100">
        <f t="shared" si="6"/>
        <v>0.38194444444444453</v>
      </c>
      <c r="AI6" s="113">
        <v>2</v>
      </c>
      <c r="AJ6" s="114" t="str">
        <f>CHOOSE(WEEKDAY(Calendrier!M6,2),"L","Ma","Me","J","V","S","D")</f>
        <v>V</v>
      </c>
      <c r="AK6" s="115"/>
      <c r="AL6" s="13"/>
      <c r="AM6" s="98">
        <f>IF(D6&lt;&gt;"",1,)</f>
        <v>0</v>
      </c>
      <c r="AN6" s="98"/>
      <c r="AO6" s="98"/>
      <c r="AP6" s="98"/>
      <c r="AQ6" s="98">
        <f>IF(P6&lt;&gt;"",1,)</f>
        <v>0</v>
      </c>
      <c r="AR6" s="98"/>
      <c r="AS6" s="98">
        <f t="shared" si="7"/>
        <v>0</v>
      </c>
      <c r="AT6" s="98"/>
      <c r="AU6" s="98">
        <f>IF(AB6&lt;&gt;"",1,)</f>
        <v>1</v>
      </c>
      <c r="AV6" s="98"/>
      <c r="AW6" s="98"/>
      <c r="AX6" s="98">
        <f t="shared" si="8"/>
        <v>0</v>
      </c>
      <c r="AY6" s="98"/>
      <c r="AZ6" s="102"/>
      <c r="BA6" s="102"/>
    </row>
    <row r="7" spans="2:53" s="1" customFormat="1" ht="12" customHeight="1">
      <c r="B7" s="33">
        <v>3</v>
      </c>
      <c r="C7" s="87" t="str">
        <f>CHOOSE(WEEKDAY(Calendrier!B7,2),"L","Ma","Me","J","V","S","D")</f>
        <v>L</v>
      </c>
      <c r="D7" s="100">
        <v>0.125</v>
      </c>
      <c r="E7" s="33">
        <v>3</v>
      </c>
      <c r="F7" s="87" t="str">
        <f>CHOOSE(WEEKDAY(Calendrier!C7,2),"L","Ma","Me","J","V","S","D")</f>
        <v>Me</v>
      </c>
      <c r="G7" s="65">
        <f t="shared" si="0"/>
        <v>0</v>
      </c>
      <c r="H7" s="33">
        <v>3</v>
      </c>
      <c r="I7" s="87" t="str">
        <f>CHOOSE(WEEKDAY(Calendrier!D7,2),"L","Ma","Me","J","V","S","D")</f>
        <v>S</v>
      </c>
      <c r="J7" s="65" t="str">
        <f t="shared" ref="J7:J35" si="11">IF(I7="L",$D$46,IF(I7="Ma",$G$46,IF(I7="Me",$J$46,IF(I7="J",$M$46,IF(I7="V",$P$46,"")))))</f>
        <v/>
      </c>
      <c r="K7" s="33">
        <v>3</v>
      </c>
      <c r="L7" s="87" t="str">
        <f>CHOOSE(WEEKDAY(Calendrier!E7,2),"L","Ma","Me","J","V","S","D")</f>
        <v>L</v>
      </c>
      <c r="M7" s="100">
        <f t="shared" si="1"/>
        <v>0</v>
      </c>
      <c r="N7" s="113">
        <v>3</v>
      </c>
      <c r="O7" s="114" t="str">
        <f>CHOOSE(WEEKDAY(Calendrier!F7,2),"L","Ma","Me","J","V","S","D")</f>
        <v>J</v>
      </c>
      <c r="P7" s="115"/>
      <c r="Q7" s="33">
        <v>3</v>
      </c>
      <c r="R7" s="87" t="str">
        <f>CHOOSE(WEEKDAY(Calendrier!G7,2),"L","Ma","Me","J","V","S","D")</f>
        <v>D</v>
      </c>
      <c r="S7" s="65" t="str">
        <f t="shared" si="2"/>
        <v/>
      </c>
      <c r="T7" s="33">
        <v>3</v>
      </c>
      <c r="U7" s="87" t="str">
        <f>CHOOSE(WEEKDAY(Calendrier!H7,2),"L","Ma","Me","J","V","S","D")</f>
        <v>D</v>
      </c>
      <c r="V7" s="65" t="str">
        <f t="shared" si="3"/>
        <v/>
      </c>
      <c r="W7" s="33">
        <v>3</v>
      </c>
      <c r="X7" s="87" t="str">
        <f>CHOOSE(WEEKDAY(Calendrier!I7,2),"L","Ma","Me","J","V","S","D")</f>
        <v>Me</v>
      </c>
      <c r="Y7" s="65">
        <f t="shared" si="4"/>
        <v>0</v>
      </c>
      <c r="Z7" s="33">
        <v>3</v>
      </c>
      <c r="AA7" s="87" t="str">
        <f>CHOOSE(WEEKDAY(Calendrier!J7,2),"L","Ma","Me","J","V","S","D")</f>
        <v>V</v>
      </c>
      <c r="AB7" s="65">
        <f t="shared" si="10"/>
        <v>0.16666666666666669</v>
      </c>
      <c r="AC7" s="33">
        <v>3</v>
      </c>
      <c r="AD7" s="87" t="str">
        <f>CHOOSE(WEEKDAY(Calendrier!K7,2),"L","Ma","Me","J","V","S","D")</f>
        <v>L</v>
      </c>
      <c r="AE7" s="100">
        <f t="shared" si="5"/>
        <v>0</v>
      </c>
      <c r="AF7" s="33">
        <v>3</v>
      </c>
      <c r="AG7" s="87" t="str">
        <f>CHOOSE(WEEKDAY(Calendrier!L7,2),"L","Ma","Me","J","V","S","D")</f>
        <v>Me</v>
      </c>
      <c r="AH7" s="65">
        <f t="shared" si="6"/>
        <v>0</v>
      </c>
      <c r="AI7" s="33">
        <v>3</v>
      </c>
      <c r="AJ7" s="87" t="str">
        <f>CHOOSE(WEEKDAY(Calendrier!M7,2),"L","Ma","Me","J","V","S","D")</f>
        <v>S</v>
      </c>
      <c r="AK7" s="115"/>
      <c r="AL7" s="13"/>
      <c r="AM7" s="98"/>
      <c r="AN7" s="98"/>
      <c r="AO7" s="98"/>
      <c r="AP7" s="98"/>
      <c r="AQ7" s="98">
        <f>IF(P7&lt;&gt;"",1,)</f>
        <v>0</v>
      </c>
      <c r="AR7" s="98"/>
      <c r="AS7" s="98">
        <f t="shared" si="7"/>
        <v>0</v>
      </c>
      <c r="AT7" s="98"/>
      <c r="AU7" s="98"/>
      <c r="AV7" s="98"/>
      <c r="AW7" s="98"/>
      <c r="AX7" s="98">
        <f t="shared" si="8"/>
        <v>0</v>
      </c>
      <c r="AY7" s="98"/>
      <c r="AZ7" s="102"/>
      <c r="BA7" s="102"/>
    </row>
    <row r="8" spans="2:53" s="1" customFormat="1" ht="12" customHeight="1">
      <c r="B8" s="33">
        <v>4</v>
      </c>
      <c r="C8" s="87" t="str">
        <f>CHOOSE(WEEKDAY(Calendrier!B8,2),"L","Ma","Me","J","V","S","D")</f>
        <v>Ma</v>
      </c>
      <c r="D8" s="100">
        <v>0.4236111111111111</v>
      </c>
      <c r="E8" s="33">
        <v>4</v>
      </c>
      <c r="F8" s="87" t="str">
        <f>CHOOSE(WEEKDAY(Calendrier!C8,2),"L","Ma","Me","J","V","S","D")</f>
        <v>J</v>
      </c>
      <c r="G8" s="65">
        <f t="shared" si="0"/>
        <v>0.20833333333333337</v>
      </c>
      <c r="H8" s="33">
        <v>4</v>
      </c>
      <c r="I8" s="87" t="str">
        <f>CHOOSE(WEEKDAY(Calendrier!D8,2),"L","Ma","Me","J","V","S","D")</f>
        <v>D</v>
      </c>
      <c r="J8" s="65" t="str">
        <f t="shared" si="11"/>
        <v/>
      </c>
      <c r="K8" s="33">
        <v>4</v>
      </c>
      <c r="L8" s="87" t="str">
        <f>CHOOSE(WEEKDAY(Calendrier!E8,2),"L","Ma","Me","J","V","S","D")</f>
        <v>Ma</v>
      </c>
      <c r="M8" s="100">
        <f t="shared" si="1"/>
        <v>0.38194444444444453</v>
      </c>
      <c r="N8" s="113">
        <v>4</v>
      </c>
      <c r="O8" s="114" t="str">
        <f>CHOOSE(WEEKDAY(Calendrier!F8,2),"L","Ma","Me","J","V","S","D")</f>
        <v>V</v>
      </c>
      <c r="P8" s="115"/>
      <c r="Q8" s="33">
        <v>4</v>
      </c>
      <c r="R8" s="87" t="str">
        <f>CHOOSE(WEEKDAY(Calendrier!G8,2),"L","Ma","Me","J","V","S","D")</f>
        <v>L</v>
      </c>
      <c r="S8" s="100">
        <f t="shared" si="2"/>
        <v>0</v>
      </c>
      <c r="T8" s="33">
        <v>4</v>
      </c>
      <c r="U8" s="87" t="str">
        <f>CHOOSE(WEEKDAY(Calendrier!H8,2),"L","Ma","Me","J","V","S","D")</f>
        <v>L</v>
      </c>
      <c r="V8" s="100">
        <f t="shared" si="3"/>
        <v>0</v>
      </c>
      <c r="W8" s="33">
        <v>4</v>
      </c>
      <c r="X8" s="87" t="str">
        <f>CHOOSE(WEEKDAY(Calendrier!I8,2),"L","Ma","Me","J","V","S","D")</f>
        <v>J</v>
      </c>
      <c r="Y8" s="65">
        <f t="shared" si="4"/>
        <v>0.20833333333333337</v>
      </c>
      <c r="Z8" s="33">
        <v>4</v>
      </c>
      <c r="AA8" s="87" t="str">
        <f>CHOOSE(WEEKDAY(Calendrier!J8,2),"L","Ma","Me","J","V","S","D")</f>
        <v>S</v>
      </c>
      <c r="AB8" s="65" t="str">
        <f t="shared" si="10"/>
        <v/>
      </c>
      <c r="AC8" s="33">
        <v>4</v>
      </c>
      <c r="AD8" s="87" t="str">
        <f>CHOOSE(WEEKDAY(Calendrier!K8,2),"L","Ma","Me","J","V","S","D")</f>
        <v>Ma</v>
      </c>
      <c r="AE8" s="100">
        <f t="shared" si="5"/>
        <v>0.38194444444444453</v>
      </c>
      <c r="AF8" s="33">
        <v>4</v>
      </c>
      <c r="AG8" s="87" t="str">
        <f>CHOOSE(WEEKDAY(Calendrier!L8,2),"L","Ma","Me","J","V","S","D")</f>
        <v>J</v>
      </c>
      <c r="AH8" s="65">
        <f t="shared" si="6"/>
        <v>0.20833333333333337</v>
      </c>
      <c r="AI8" s="33">
        <v>4</v>
      </c>
      <c r="AJ8" s="87" t="str">
        <f>CHOOSE(WEEKDAY(Calendrier!M8,2),"L","Ma","Me","J","V","S","D")</f>
        <v>D</v>
      </c>
      <c r="AK8" s="115"/>
      <c r="AL8" s="13"/>
      <c r="AM8" s="98"/>
      <c r="AN8" s="98"/>
      <c r="AO8" s="98"/>
      <c r="AP8" s="98"/>
      <c r="AQ8" s="98"/>
      <c r="AR8" s="98"/>
      <c r="AS8" s="98">
        <f t="shared" si="7"/>
        <v>1</v>
      </c>
      <c r="AT8" s="98"/>
      <c r="AU8" s="98"/>
      <c r="AV8" s="98"/>
      <c r="AW8" s="98"/>
      <c r="AX8" s="98">
        <f t="shared" si="8"/>
        <v>0</v>
      </c>
      <c r="AY8" s="98"/>
      <c r="AZ8" s="102"/>
      <c r="BA8" s="102"/>
    </row>
    <row r="9" spans="2:53" s="1" customFormat="1" ht="12" customHeight="1">
      <c r="B9" s="33">
        <v>5</v>
      </c>
      <c r="C9" s="87" t="str">
        <f>CHOOSE(WEEKDAY(Calendrier!B9,2),"L","Ma","Me","J","V","S","D")</f>
        <v>Me</v>
      </c>
      <c r="D9" s="65">
        <f t="shared" si="9"/>
        <v>0</v>
      </c>
      <c r="E9" s="33">
        <v>5</v>
      </c>
      <c r="F9" s="87" t="str">
        <f>CHOOSE(WEEKDAY(Calendrier!C9,2),"L","Ma","Me","J","V","S","D")</f>
        <v>V</v>
      </c>
      <c r="G9" s="65">
        <f t="shared" si="0"/>
        <v>0.16666666666666669</v>
      </c>
      <c r="H9" s="33">
        <v>5</v>
      </c>
      <c r="I9" s="87" t="str">
        <f>CHOOSE(WEEKDAY(Calendrier!D9,2),"L","Ma","Me","J","V","S","D")</f>
        <v>L</v>
      </c>
      <c r="J9" s="100">
        <f t="shared" si="11"/>
        <v>0</v>
      </c>
      <c r="K9" s="33">
        <v>5</v>
      </c>
      <c r="L9" s="87" t="str">
        <f>CHOOSE(WEEKDAY(Calendrier!E9,2),"L","Ma","Me","J","V","S","D")</f>
        <v>Me</v>
      </c>
      <c r="M9" s="65">
        <f t="shared" si="1"/>
        <v>0</v>
      </c>
      <c r="N9" s="111">
        <v>5</v>
      </c>
      <c r="O9" s="112" t="str">
        <f>CHOOSE(WEEKDAY(Calendrier!F9,2),"L","Ma","Me","J","V","S","D")</f>
        <v>S</v>
      </c>
      <c r="P9" s="116" t="str">
        <f t="shared" ref="P9:P35" si="12">IF(O9="L",$D$46,IF(O9="Ma",$G$46,IF(O9="Me",$J$46,IF(O9="J",$M$46,IF(O9="V",$P$46,"")))))</f>
        <v/>
      </c>
      <c r="Q9" s="33">
        <v>5</v>
      </c>
      <c r="R9" s="87" t="str">
        <f>CHOOSE(WEEKDAY(Calendrier!G9,2),"L","Ma","Me","J","V","S","D")</f>
        <v>Ma</v>
      </c>
      <c r="S9" s="100">
        <f t="shared" si="2"/>
        <v>0.38194444444444453</v>
      </c>
      <c r="T9" s="33">
        <v>5</v>
      </c>
      <c r="U9" s="87" t="str">
        <f>CHOOSE(WEEKDAY(Calendrier!H9,2),"L","Ma","Me","J","V","S","D")</f>
        <v>Ma</v>
      </c>
      <c r="V9" s="100">
        <f t="shared" si="3"/>
        <v>0.38194444444444453</v>
      </c>
      <c r="W9" s="33">
        <v>5</v>
      </c>
      <c r="X9" s="87" t="str">
        <f>CHOOSE(WEEKDAY(Calendrier!I9,2),"L","Ma","Me","J","V","S","D")</f>
        <v>V</v>
      </c>
      <c r="Y9" s="65">
        <f t="shared" si="4"/>
        <v>0.16666666666666669</v>
      </c>
      <c r="Z9" s="33">
        <v>5</v>
      </c>
      <c r="AA9" s="87" t="str">
        <f>CHOOSE(WEEKDAY(Calendrier!J9,2),"L","Ma","Me","J","V","S","D")</f>
        <v>D</v>
      </c>
      <c r="AB9" s="65" t="str">
        <f t="shared" si="10"/>
        <v/>
      </c>
      <c r="AC9" s="33">
        <v>5</v>
      </c>
      <c r="AD9" s="87" t="str">
        <f>CHOOSE(WEEKDAY(Calendrier!K9,2),"L","Ma","Me","J","V","S","D")</f>
        <v>Me</v>
      </c>
      <c r="AE9" s="65">
        <f t="shared" si="5"/>
        <v>0</v>
      </c>
      <c r="AF9" s="33">
        <v>5</v>
      </c>
      <c r="AG9" s="87" t="str">
        <f>CHOOSE(WEEKDAY(Calendrier!L9,2),"L","Ma","Me","J","V","S","D")</f>
        <v>V</v>
      </c>
      <c r="AH9" s="65">
        <v>0.375</v>
      </c>
      <c r="AI9" s="113">
        <v>5</v>
      </c>
      <c r="AJ9" s="114" t="str">
        <f>CHOOSE(WEEKDAY(Calendrier!M9,2),"L","Ma","Me","J","V","S","D")</f>
        <v>L</v>
      </c>
      <c r="AK9" s="118"/>
      <c r="AL9" s="13"/>
      <c r="AM9" s="98"/>
      <c r="AN9" s="98"/>
      <c r="AO9" s="98"/>
      <c r="AP9" s="98"/>
      <c r="AQ9" s="98"/>
      <c r="AR9" s="98"/>
      <c r="AS9" s="98">
        <f t="shared" si="7"/>
        <v>1</v>
      </c>
      <c r="AT9" s="98"/>
      <c r="AU9" s="98"/>
      <c r="AV9" s="98"/>
      <c r="AW9" s="98"/>
      <c r="AX9" s="98">
        <f t="shared" si="8"/>
        <v>0</v>
      </c>
      <c r="AY9" s="98"/>
      <c r="AZ9" s="102"/>
      <c r="BA9" s="102"/>
    </row>
    <row r="10" spans="2:53" s="1" customFormat="1" ht="12" customHeight="1">
      <c r="B10" s="33">
        <v>6</v>
      </c>
      <c r="C10" s="87" t="str">
        <f>CHOOSE(WEEKDAY(Calendrier!B10,2),"L","Ma","Me","J","V","S","D")</f>
        <v>J</v>
      </c>
      <c r="D10" s="65">
        <f t="shared" si="9"/>
        <v>0.20833333333333337</v>
      </c>
      <c r="E10" s="33">
        <v>6</v>
      </c>
      <c r="F10" s="87" t="str">
        <f>CHOOSE(WEEKDAY(Calendrier!C10,2),"L","Ma","Me","J","V","S","D")</f>
        <v>S</v>
      </c>
      <c r="G10" s="65" t="str">
        <f t="shared" si="0"/>
        <v/>
      </c>
      <c r="H10" s="33">
        <v>6</v>
      </c>
      <c r="I10" s="87" t="str">
        <f>CHOOSE(WEEKDAY(Calendrier!D10,2),"L","Ma","Me","J","V","S","D")</f>
        <v>Ma</v>
      </c>
      <c r="J10" s="100">
        <f t="shared" si="11"/>
        <v>0.38194444444444453</v>
      </c>
      <c r="K10" s="33">
        <v>6</v>
      </c>
      <c r="L10" s="87" t="str">
        <f>CHOOSE(WEEKDAY(Calendrier!E10,2),"L","Ma","Me","J","V","S","D")</f>
        <v>J</v>
      </c>
      <c r="M10" s="65">
        <f t="shared" si="1"/>
        <v>0.20833333333333337</v>
      </c>
      <c r="N10" s="33">
        <v>6</v>
      </c>
      <c r="O10" s="87" t="str">
        <f>CHOOSE(WEEKDAY(Calendrier!F10,2),"L","Ma","Me","J","V","S","D")</f>
        <v>D</v>
      </c>
      <c r="P10" s="65" t="str">
        <f t="shared" si="12"/>
        <v/>
      </c>
      <c r="Q10" s="33">
        <v>6</v>
      </c>
      <c r="R10" s="87" t="str">
        <f>CHOOSE(WEEKDAY(Calendrier!G10,2),"L","Ma","Me","J","V","S","D")</f>
        <v>Me</v>
      </c>
      <c r="S10" s="65">
        <f t="shared" si="2"/>
        <v>0</v>
      </c>
      <c r="T10" s="33">
        <v>6</v>
      </c>
      <c r="U10" s="87" t="str">
        <f>CHOOSE(WEEKDAY(Calendrier!H10,2),"L","Ma","Me","J","V","S","D")</f>
        <v>Me</v>
      </c>
      <c r="V10" s="65">
        <f t="shared" si="3"/>
        <v>0</v>
      </c>
      <c r="W10" s="33">
        <v>6</v>
      </c>
      <c r="X10" s="87" t="str">
        <f>CHOOSE(WEEKDAY(Calendrier!I10,2),"L","Ma","Me","J","V","S","D")</f>
        <v>S</v>
      </c>
      <c r="Y10" s="65" t="str">
        <f t="shared" si="4"/>
        <v/>
      </c>
      <c r="Z10" s="33">
        <v>6</v>
      </c>
      <c r="AA10" s="87" t="str">
        <f>CHOOSE(WEEKDAY(Calendrier!J10,2),"L","Ma","Me","J","V","S","D")</f>
        <v>L</v>
      </c>
      <c r="AB10" s="100">
        <f t="shared" si="10"/>
        <v>0</v>
      </c>
      <c r="AC10" s="33">
        <v>6</v>
      </c>
      <c r="AD10" s="87" t="str">
        <f>CHOOSE(WEEKDAY(Calendrier!K10,2),"L","Ma","Me","J","V","S","D")</f>
        <v>J</v>
      </c>
      <c r="AE10" s="65">
        <f t="shared" si="5"/>
        <v>0.20833333333333337</v>
      </c>
      <c r="AF10" s="33">
        <v>6</v>
      </c>
      <c r="AG10" s="87" t="str">
        <f>CHOOSE(WEEKDAY(Calendrier!L10,2),"L","Ma","Me","J","V","S","D")</f>
        <v>S</v>
      </c>
      <c r="AH10" s="65" t="str">
        <f t="shared" si="6"/>
        <v/>
      </c>
      <c r="AI10" s="113">
        <v>6</v>
      </c>
      <c r="AJ10" s="114" t="str">
        <f>CHOOSE(WEEKDAY(Calendrier!M10,2),"L","Ma","Me","J","V","S","D")</f>
        <v>Ma</v>
      </c>
      <c r="AK10" s="118"/>
      <c r="AL10" s="13"/>
      <c r="AM10" s="98"/>
      <c r="AN10" s="98"/>
      <c r="AO10" s="98"/>
      <c r="AP10" s="98"/>
      <c r="AQ10" s="98"/>
      <c r="AR10" s="98"/>
      <c r="AS10" s="98">
        <f t="shared" si="7"/>
        <v>1</v>
      </c>
      <c r="AT10" s="98"/>
      <c r="AU10" s="98"/>
      <c r="AV10" s="98"/>
      <c r="AW10" s="98"/>
      <c r="AX10" s="98">
        <f t="shared" si="8"/>
        <v>0</v>
      </c>
      <c r="AY10" s="98"/>
      <c r="AZ10" s="102"/>
      <c r="BA10" s="102"/>
    </row>
    <row r="11" spans="2:53" s="1" customFormat="1" ht="12" customHeight="1">
      <c r="B11" s="33">
        <v>7</v>
      </c>
      <c r="C11" s="87" t="str">
        <f>CHOOSE(WEEKDAY(Calendrier!B11,2),"L","Ma","Me","J","V","S","D")</f>
        <v>V</v>
      </c>
      <c r="D11" s="65">
        <f t="shared" si="9"/>
        <v>0.16666666666666669</v>
      </c>
      <c r="E11" s="33">
        <v>7</v>
      </c>
      <c r="F11" s="87" t="str">
        <f>CHOOSE(WEEKDAY(Calendrier!C11,2),"L","Ma","Me","J","V","S","D")</f>
        <v>D</v>
      </c>
      <c r="G11" s="65" t="str">
        <f t="shared" si="0"/>
        <v/>
      </c>
      <c r="H11" s="33">
        <v>7</v>
      </c>
      <c r="I11" s="87" t="str">
        <f>CHOOSE(WEEKDAY(Calendrier!D11,2),"L","Ma","Me","J","V","S","D")</f>
        <v>Me</v>
      </c>
      <c r="J11" s="65">
        <f t="shared" si="11"/>
        <v>0</v>
      </c>
      <c r="K11" s="33">
        <v>7</v>
      </c>
      <c r="L11" s="87" t="str">
        <f>CHOOSE(WEEKDAY(Calendrier!E11,2),"L","Ma","Me","J","V","S","D")</f>
        <v>V</v>
      </c>
      <c r="M11" s="65">
        <f t="shared" si="1"/>
        <v>0.16666666666666669</v>
      </c>
      <c r="N11" s="33">
        <v>7</v>
      </c>
      <c r="O11" s="87" t="str">
        <f>CHOOSE(WEEKDAY(Calendrier!F11,2),"L","Ma","Me","J","V","S","D")</f>
        <v>L</v>
      </c>
      <c r="P11" s="100">
        <f t="shared" si="12"/>
        <v>0</v>
      </c>
      <c r="Q11" s="33">
        <v>7</v>
      </c>
      <c r="R11" s="87" t="str">
        <f>CHOOSE(WEEKDAY(Calendrier!G11,2),"L","Ma","Me","J","V","S","D")</f>
        <v>J</v>
      </c>
      <c r="S11" s="65">
        <f t="shared" si="2"/>
        <v>0.20833333333333337</v>
      </c>
      <c r="T11" s="33">
        <v>7</v>
      </c>
      <c r="U11" s="87" t="str">
        <f>CHOOSE(WEEKDAY(Calendrier!H11,2),"L","Ma","Me","J","V","S","D")</f>
        <v>J</v>
      </c>
      <c r="V11" s="65">
        <f t="shared" si="3"/>
        <v>0.20833333333333337</v>
      </c>
      <c r="W11" s="33">
        <v>7</v>
      </c>
      <c r="X11" s="87" t="str">
        <f>CHOOSE(WEEKDAY(Calendrier!I11,2),"L","Ma","Me","J","V","S","D")</f>
        <v>D</v>
      </c>
      <c r="Y11" s="65" t="str">
        <f t="shared" si="4"/>
        <v/>
      </c>
      <c r="Z11" s="33">
        <v>7</v>
      </c>
      <c r="AA11" s="87" t="str">
        <f>CHOOSE(WEEKDAY(Calendrier!J11,2),"L","Ma","Me","J","V","S","D")</f>
        <v>Ma</v>
      </c>
      <c r="AB11" s="100">
        <f t="shared" si="10"/>
        <v>0.38194444444444453</v>
      </c>
      <c r="AC11" s="33">
        <v>7</v>
      </c>
      <c r="AD11" s="87" t="str">
        <f>CHOOSE(WEEKDAY(Calendrier!K11,2),"L","Ma","Me","J","V","S","D")</f>
        <v>V</v>
      </c>
      <c r="AE11" s="65">
        <f t="shared" si="5"/>
        <v>0.16666666666666669</v>
      </c>
      <c r="AF11" s="33">
        <v>7</v>
      </c>
      <c r="AG11" s="87" t="str">
        <f>CHOOSE(WEEKDAY(Calendrier!L11,2),"L","Ma","Me","J","V","S","D")</f>
        <v>D</v>
      </c>
      <c r="AH11" s="65" t="str">
        <f t="shared" si="6"/>
        <v/>
      </c>
      <c r="AI11" s="113">
        <v>7</v>
      </c>
      <c r="AJ11" s="114" t="str">
        <f>CHOOSE(WEEKDAY(Calendrier!M11,2),"L","Ma","Me","J","V","S","D")</f>
        <v>Me</v>
      </c>
      <c r="AK11" s="115"/>
      <c r="AL11" s="13"/>
      <c r="AM11" s="98"/>
      <c r="AN11" s="98"/>
      <c r="AO11" s="98"/>
      <c r="AP11" s="98"/>
      <c r="AQ11" s="98"/>
      <c r="AR11" s="98"/>
      <c r="AS11" s="98">
        <f t="shared" si="7"/>
        <v>1</v>
      </c>
      <c r="AT11" s="98"/>
      <c r="AU11" s="98"/>
      <c r="AV11" s="98"/>
      <c r="AW11" s="98">
        <f t="shared" ref="AW11:AW17" si="13">IF(AH11&lt;&gt;"",1,)</f>
        <v>0</v>
      </c>
      <c r="AX11" s="98">
        <f t="shared" si="8"/>
        <v>0</v>
      </c>
      <c r="AY11" s="98"/>
      <c r="AZ11" s="102"/>
      <c r="BA11" s="102"/>
    </row>
    <row r="12" spans="2:53" s="1" customFormat="1" ht="12" customHeight="1">
      <c r="B12" s="33">
        <v>8</v>
      </c>
      <c r="C12" s="87" t="str">
        <f>CHOOSE(WEEKDAY(Calendrier!B12,2),"L","Ma","Me","J","V","S","D")</f>
        <v>S</v>
      </c>
      <c r="D12" s="65" t="str">
        <f t="shared" si="9"/>
        <v/>
      </c>
      <c r="E12" s="33">
        <v>8</v>
      </c>
      <c r="F12" s="87" t="str">
        <f>CHOOSE(WEEKDAY(Calendrier!C12,2),"L","Ma","Me","J","V","S","D")</f>
        <v>L</v>
      </c>
      <c r="G12" s="100">
        <f t="shared" si="0"/>
        <v>0</v>
      </c>
      <c r="H12" s="33">
        <v>8</v>
      </c>
      <c r="I12" s="87" t="str">
        <f>CHOOSE(WEEKDAY(Calendrier!D12,2),"L","Ma","Me","J","V","S","D")</f>
        <v>J</v>
      </c>
      <c r="J12" s="65">
        <f t="shared" si="11"/>
        <v>0.20833333333333337</v>
      </c>
      <c r="K12" s="33">
        <v>8</v>
      </c>
      <c r="L12" s="87" t="str">
        <f>CHOOSE(WEEKDAY(Calendrier!E12,2),"L","Ma","Me","J","V","S","D")</f>
        <v>S</v>
      </c>
      <c r="M12" s="65" t="str">
        <f t="shared" si="1"/>
        <v/>
      </c>
      <c r="N12" s="33">
        <v>8</v>
      </c>
      <c r="O12" s="87" t="str">
        <f>CHOOSE(WEEKDAY(Calendrier!F12,2),"L","Ma","Me","J","V","S","D")</f>
        <v>Ma</v>
      </c>
      <c r="P12" s="100">
        <f t="shared" si="12"/>
        <v>0.38194444444444453</v>
      </c>
      <c r="Q12" s="33">
        <v>8</v>
      </c>
      <c r="R12" s="87" t="str">
        <f>CHOOSE(WEEKDAY(Calendrier!G12,2),"L","Ma","Me","J","V","S","D")</f>
        <v>V</v>
      </c>
      <c r="S12" s="65">
        <f t="shared" si="2"/>
        <v>0.16666666666666669</v>
      </c>
      <c r="T12" s="33">
        <v>8</v>
      </c>
      <c r="U12" s="87" t="str">
        <f>CHOOSE(WEEKDAY(Calendrier!H12,2),"L","Ma","Me","J","V","S","D")</f>
        <v>V</v>
      </c>
      <c r="V12" s="65">
        <f t="shared" si="3"/>
        <v>0.16666666666666669</v>
      </c>
      <c r="W12" s="113">
        <v>8</v>
      </c>
      <c r="X12" s="114" t="str">
        <f>CHOOSE(WEEKDAY(Calendrier!I12,2),"L","Ma","Me","J","V","S","D")</f>
        <v>L</v>
      </c>
      <c r="Y12" s="118"/>
      <c r="Z12" s="33">
        <v>8</v>
      </c>
      <c r="AA12" s="87" t="str">
        <f>CHOOSE(WEEKDAY(Calendrier!J12,2),"L","Ma","Me","J","V","S","D")</f>
        <v>Me</v>
      </c>
      <c r="AB12" s="101"/>
      <c r="AC12" s="33">
        <v>8</v>
      </c>
      <c r="AD12" s="87" t="str">
        <f>CHOOSE(WEEKDAY(Calendrier!K12,2),"L","Ma","Me","J","V","S","D")</f>
        <v>S</v>
      </c>
      <c r="AE12" s="65" t="str">
        <f t="shared" si="5"/>
        <v/>
      </c>
      <c r="AF12" s="113">
        <v>8</v>
      </c>
      <c r="AG12" s="114" t="str">
        <f>CHOOSE(WEEKDAY(Calendrier!L12,2),"L","Ma","Me","J","V","S","D")</f>
        <v>L</v>
      </c>
      <c r="AH12" s="118"/>
      <c r="AI12" s="113">
        <v>8</v>
      </c>
      <c r="AJ12" s="114" t="str">
        <f>CHOOSE(WEEKDAY(Calendrier!M12,2),"L","Ma","Me","J","V","S","D")</f>
        <v>J</v>
      </c>
      <c r="AK12" s="115"/>
      <c r="AL12" s="1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>
        <f t="shared" si="13"/>
        <v>0</v>
      </c>
      <c r="AX12" s="98">
        <f t="shared" si="8"/>
        <v>0</v>
      </c>
      <c r="AY12" s="98"/>
      <c r="AZ12" s="102"/>
      <c r="BA12" s="102"/>
    </row>
    <row r="13" spans="2:53" s="1" customFormat="1" ht="12" customHeight="1">
      <c r="B13" s="33">
        <v>9</v>
      </c>
      <c r="C13" s="87" t="str">
        <f>CHOOSE(WEEKDAY(Calendrier!B13,2),"L","Ma","Me","J","V","S","D")</f>
        <v>D</v>
      </c>
      <c r="D13" s="65" t="str">
        <f t="shared" si="9"/>
        <v/>
      </c>
      <c r="E13" s="33">
        <v>9</v>
      </c>
      <c r="F13" s="87" t="str">
        <f>CHOOSE(WEEKDAY(Calendrier!C13,2),"L","Ma","Me","J","V","S","D")</f>
        <v>Ma</v>
      </c>
      <c r="G13" s="100">
        <f t="shared" si="0"/>
        <v>0.38194444444444453</v>
      </c>
      <c r="H13" s="33">
        <v>9</v>
      </c>
      <c r="I13" s="87" t="str">
        <f>CHOOSE(WEEKDAY(Calendrier!D13,2),"L","Ma","Me","J","V","S","D")</f>
        <v>V</v>
      </c>
      <c r="J13" s="65">
        <f t="shared" si="11"/>
        <v>0.16666666666666669</v>
      </c>
      <c r="K13" s="33">
        <v>9</v>
      </c>
      <c r="L13" s="87" t="str">
        <f>CHOOSE(WEEKDAY(Calendrier!E13,2),"L","Ma","Me","J","V","S","D")</f>
        <v>D</v>
      </c>
      <c r="M13" s="65" t="str">
        <f t="shared" si="1"/>
        <v/>
      </c>
      <c r="N13" s="33">
        <v>9</v>
      </c>
      <c r="O13" s="87" t="str">
        <f>CHOOSE(WEEKDAY(Calendrier!F13,2),"L","Ma","Me","J","V","S","D")</f>
        <v>Me</v>
      </c>
      <c r="P13" s="65">
        <f t="shared" si="12"/>
        <v>0</v>
      </c>
      <c r="Q13" s="33">
        <v>9</v>
      </c>
      <c r="R13" s="87" t="str">
        <f>CHOOSE(WEEKDAY(Calendrier!G13,2),"L","Ma","Me","J","V","S","D")</f>
        <v>S</v>
      </c>
      <c r="S13" s="65" t="str">
        <f t="shared" si="2"/>
        <v/>
      </c>
      <c r="T13" s="33">
        <v>9</v>
      </c>
      <c r="U13" s="87" t="str">
        <f>CHOOSE(WEEKDAY(Calendrier!H13,2),"L","Ma","Me","J","V","S","D")</f>
        <v>S</v>
      </c>
      <c r="V13" s="65" t="str">
        <f t="shared" si="3"/>
        <v/>
      </c>
      <c r="W13" s="113">
        <v>9</v>
      </c>
      <c r="X13" s="114" t="str">
        <f>CHOOSE(WEEKDAY(Calendrier!I13,2),"L","Ma","Me","J","V","S","D")</f>
        <v>Ma</v>
      </c>
      <c r="Y13" s="118"/>
      <c r="Z13" s="33">
        <v>9</v>
      </c>
      <c r="AA13" s="87" t="str">
        <f>CHOOSE(WEEKDAY(Calendrier!J13,2),"L","Ma","Me","J","V","S","D")</f>
        <v>J</v>
      </c>
      <c r="AB13" s="65">
        <f t="shared" si="10"/>
        <v>0.20833333333333337</v>
      </c>
      <c r="AC13" s="111">
        <v>9</v>
      </c>
      <c r="AD13" s="112" t="str">
        <f>CHOOSE(WEEKDAY(Calendrier!K13,2),"L","Ma","Me","J","V","S","D")</f>
        <v>D</v>
      </c>
      <c r="AE13" s="65" t="str">
        <f t="shared" si="5"/>
        <v/>
      </c>
      <c r="AF13" s="113">
        <v>9</v>
      </c>
      <c r="AG13" s="114" t="str">
        <f>CHOOSE(WEEKDAY(Calendrier!L13,2),"L","Ma","Me","J","V","S","D")</f>
        <v>Ma</v>
      </c>
      <c r="AH13" s="118"/>
      <c r="AI13" s="113">
        <v>9</v>
      </c>
      <c r="AJ13" s="114" t="str">
        <f>CHOOSE(WEEKDAY(Calendrier!M13,2),"L","Ma","Me","J","V","S","D")</f>
        <v>V</v>
      </c>
      <c r="AK13" s="115"/>
      <c r="AL13" s="13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f t="shared" si="13"/>
        <v>0</v>
      </c>
      <c r="AX13" s="98">
        <f t="shared" si="8"/>
        <v>0</v>
      </c>
      <c r="AY13" s="98"/>
      <c r="AZ13" s="102"/>
      <c r="BA13" s="102"/>
    </row>
    <row r="14" spans="2:53" s="1" customFormat="1" ht="12" customHeight="1">
      <c r="B14" s="33">
        <v>10</v>
      </c>
      <c r="C14" s="87" t="str">
        <f>CHOOSE(WEEKDAY(Calendrier!B14,2),"L","Ma","Me","J","V","S","D")</f>
        <v>L</v>
      </c>
      <c r="D14" s="100">
        <f t="shared" si="9"/>
        <v>0</v>
      </c>
      <c r="E14" s="33">
        <v>10</v>
      </c>
      <c r="F14" s="87" t="str">
        <f>CHOOSE(WEEKDAY(Calendrier!C14,2),"L","Ma","Me","J","V","S","D")</f>
        <v>Me</v>
      </c>
      <c r="G14" s="65">
        <f t="shared" si="0"/>
        <v>0</v>
      </c>
      <c r="H14" s="33">
        <v>10</v>
      </c>
      <c r="I14" s="87" t="str">
        <f>CHOOSE(WEEKDAY(Calendrier!D14,2),"L","Ma","Me","J","V","S","D")</f>
        <v>S</v>
      </c>
      <c r="J14" s="65" t="str">
        <f t="shared" si="11"/>
        <v/>
      </c>
      <c r="K14" s="33">
        <v>10</v>
      </c>
      <c r="L14" s="87" t="str">
        <f>CHOOSE(WEEKDAY(Calendrier!E14,2),"L","Ma","Me","J","V","S","D")</f>
        <v>L</v>
      </c>
      <c r="M14" s="100">
        <f t="shared" si="1"/>
        <v>0</v>
      </c>
      <c r="N14" s="33">
        <v>10</v>
      </c>
      <c r="O14" s="87" t="str">
        <f>CHOOSE(WEEKDAY(Calendrier!F14,2),"L","Ma","Me","J","V","S","D")</f>
        <v>J</v>
      </c>
      <c r="P14" s="65">
        <f t="shared" si="12"/>
        <v>0.20833333333333337</v>
      </c>
      <c r="Q14" s="33">
        <v>10</v>
      </c>
      <c r="R14" s="87" t="str">
        <f>CHOOSE(WEEKDAY(Calendrier!G14,2),"L","Ma","Me","J","V","S","D")</f>
        <v>D</v>
      </c>
      <c r="S14" s="65" t="str">
        <f t="shared" si="2"/>
        <v/>
      </c>
      <c r="T14" s="33">
        <v>10</v>
      </c>
      <c r="U14" s="87" t="str">
        <f>CHOOSE(WEEKDAY(Calendrier!H14,2),"L","Ma","Me","J","V","S","D")</f>
        <v>D</v>
      </c>
      <c r="V14" s="65" t="str">
        <f t="shared" si="3"/>
        <v/>
      </c>
      <c r="W14" s="113">
        <v>10</v>
      </c>
      <c r="X14" s="114" t="str">
        <f>CHOOSE(WEEKDAY(Calendrier!I14,2),"L","Ma","Me","J","V","S","D")</f>
        <v>Me</v>
      </c>
      <c r="Y14" s="115"/>
      <c r="Z14" s="33">
        <v>10</v>
      </c>
      <c r="AA14" s="87" t="str">
        <f>CHOOSE(WEEKDAY(Calendrier!J14,2),"L","Ma","Me","J","V","S","D")</f>
        <v>V</v>
      </c>
      <c r="AB14" s="65">
        <f t="shared" si="10"/>
        <v>0.16666666666666669</v>
      </c>
      <c r="AC14" s="33">
        <v>10</v>
      </c>
      <c r="AD14" s="87" t="str">
        <f>CHOOSE(WEEKDAY(Calendrier!K14,2),"L","Ma","Me","J","V","S","D")</f>
        <v>L</v>
      </c>
      <c r="AE14" s="101"/>
      <c r="AF14" s="113">
        <v>10</v>
      </c>
      <c r="AG14" s="114" t="str">
        <f>CHOOSE(WEEKDAY(Calendrier!L14,2),"L","Ma","Me","J","V","S","D")</f>
        <v>Me</v>
      </c>
      <c r="AH14" s="115"/>
      <c r="AI14" s="33">
        <v>10</v>
      </c>
      <c r="AJ14" s="87" t="str">
        <f>CHOOSE(WEEKDAY(Calendrier!M14,2),"L","Ma","Me","J","V","S","D")</f>
        <v>S</v>
      </c>
      <c r="AK14" s="115"/>
      <c r="AL14" s="13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f t="shared" si="13"/>
        <v>0</v>
      </c>
      <c r="AX14" s="98">
        <f t="shared" si="8"/>
        <v>0</v>
      </c>
      <c r="AY14" s="98"/>
      <c r="AZ14" s="102"/>
      <c r="BA14" s="102"/>
    </row>
    <row r="15" spans="2:53" s="1" customFormat="1" ht="12" customHeight="1">
      <c r="B15" s="33">
        <v>11</v>
      </c>
      <c r="C15" s="87" t="str">
        <f>CHOOSE(WEEKDAY(Calendrier!B15,2),"L","Ma","Me","J","V","S","D")</f>
        <v>Ma</v>
      </c>
      <c r="D15" s="100">
        <f t="shared" si="9"/>
        <v>0.38194444444444453</v>
      </c>
      <c r="E15" s="33">
        <v>11</v>
      </c>
      <c r="F15" s="87" t="str">
        <f>CHOOSE(WEEKDAY(Calendrier!C15,2),"L","Ma","Me","J","V","S","D")</f>
        <v>J</v>
      </c>
      <c r="G15" s="65">
        <f t="shared" si="0"/>
        <v>0.20833333333333337</v>
      </c>
      <c r="H15" s="33">
        <v>11</v>
      </c>
      <c r="I15" s="87" t="str">
        <f>CHOOSE(WEEKDAY(Calendrier!D15,2),"L","Ma","Me","J","V","S","D")</f>
        <v>D</v>
      </c>
      <c r="J15" s="101"/>
      <c r="K15" s="33">
        <v>11</v>
      </c>
      <c r="L15" s="87" t="str">
        <f>CHOOSE(WEEKDAY(Calendrier!E15,2),"L","Ma","Me","J","V","S","D")</f>
        <v>Ma</v>
      </c>
      <c r="M15" s="100">
        <f>IF(L15="L",$D$46,IF(L15="Ma",$G$46,IF(L15="Me",$J$46,IF(L15="J",$M$46,IF(L15="V",$P$46,"")))))</f>
        <v>0.38194444444444453</v>
      </c>
      <c r="N15" s="33">
        <v>11</v>
      </c>
      <c r="O15" s="87" t="str">
        <f>CHOOSE(WEEKDAY(Calendrier!F15,2),"L","Ma","Me","J","V","S","D")</f>
        <v>V</v>
      </c>
      <c r="P15" s="65">
        <f t="shared" si="12"/>
        <v>0.16666666666666669</v>
      </c>
      <c r="Q15" s="113">
        <v>11</v>
      </c>
      <c r="R15" s="114" t="str">
        <f>CHOOSE(WEEKDAY(Calendrier!G15,2),"L","Ma","Me","J","V","S","D")</f>
        <v>L</v>
      </c>
      <c r="S15" s="118"/>
      <c r="T15" s="33">
        <v>11</v>
      </c>
      <c r="U15" s="87" t="str">
        <f>CHOOSE(WEEKDAY(Calendrier!H15,2),"L","Ma","Me","J","V","S","D")</f>
        <v>L</v>
      </c>
      <c r="V15" s="100">
        <f t="shared" si="3"/>
        <v>0</v>
      </c>
      <c r="W15" s="113">
        <v>11</v>
      </c>
      <c r="X15" s="114" t="str">
        <f>CHOOSE(WEEKDAY(Calendrier!I15,2),"L","Ma","Me","J","V","S","D")</f>
        <v>J</v>
      </c>
      <c r="Y15" s="115"/>
      <c r="Z15" s="33">
        <v>11</v>
      </c>
      <c r="AA15" s="87" t="str">
        <f>CHOOSE(WEEKDAY(Calendrier!J15,2),"L","Ma","Me","J","V","S","D")</f>
        <v>S</v>
      </c>
      <c r="AB15" s="65" t="str">
        <f t="shared" si="10"/>
        <v/>
      </c>
      <c r="AC15" s="33">
        <v>11</v>
      </c>
      <c r="AD15" s="87" t="str">
        <f>CHOOSE(WEEKDAY(Calendrier!K15,2),"L","Ma","Me","J","V","S","D")</f>
        <v>Ma</v>
      </c>
      <c r="AE15" s="100">
        <f t="shared" si="5"/>
        <v>0.38194444444444453</v>
      </c>
      <c r="AF15" s="113">
        <v>11</v>
      </c>
      <c r="AG15" s="114" t="str">
        <f>CHOOSE(WEEKDAY(Calendrier!L15,2),"L","Ma","Me","J","V","S","D")</f>
        <v>J</v>
      </c>
      <c r="AH15" s="115"/>
      <c r="AI15" s="33">
        <v>11</v>
      </c>
      <c r="AJ15" s="87" t="str">
        <f>CHOOSE(WEEKDAY(Calendrier!M15,2),"L","Ma","Me","J","V","S","D")</f>
        <v>D</v>
      </c>
      <c r="AK15" s="115"/>
      <c r="AL15" s="13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f t="shared" si="13"/>
        <v>0</v>
      </c>
      <c r="AX15" s="98">
        <f t="shared" si="8"/>
        <v>0</v>
      </c>
      <c r="AY15" s="98"/>
      <c r="AZ15" s="102"/>
      <c r="BA15" s="102"/>
    </row>
    <row r="16" spans="2:53" s="1" customFormat="1" ht="12" customHeight="1">
      <c r="B16" s="33">
        <v>12</v>
      </c>
      <c r="C16" s="87" t="str">
        <f>CHOOSE(WEEKDAY(Calendrier!B16,2),"L","Ma","Me","J","V","S","D")</f>
        <v>Me</v>
      </c>
      <c r="D16" s="65">
        <f t="shared" si="9"/>
        <v>0</v>
      </c>
      <c r="E16" s="33">
        <v>12</v>
      </c>
      <c r="F16" s="87" t="str">
        <f>CHOOSE(WEEKDAY(Calendrier!C16,2),"L","Ma","Me","J","V","S","D")</f>
        <v>V</v>
      </c>
      <c r="G16" s="65">
        <f t="shared" si="0"/>
        <v>0.16666666666666669</v>
      </c>
      <c r="H16" s="33">
        <v>12</v>
      </c>
      <c r="I16" s="87" t="str">
        <f>CHOOSE(WEEKDAY(Calendrier!D16,2),"L","Ma","Me","J","V","S","D")</f>
        <v>L</v>
      </c>
      <c r="J16" s="100">
        <f t="shared" si="11"/>
        <v>0</v>
      </c>
      <c r="K16" s="33">
        <v>12</v>
      </c>
      <c r="L16" s="87" t="str">
        <f>CHOOSE(WEEKDAY(Calendrier!E16,2),"L","Ma","Me","J","V","S","D")</f>
        <v>Me</v>
      </c>
      <c r="M16" s="65">
        <f t="shared" si="1"/>
        <v>0</v>
      </c>
      <c r="N16" s="33">
        <v>12</v>
      </c>
      <c r="O16" s="87" t="str">
        <f>CHOOSE(WEEKDAY(Calendrier!F16,2),"L","Ma","Me","J","V","S","D")</f>
        <v>S</v>
      </c>
      <c r="P16" s="65" t="str">
        <f t="shared" si="12"/>
        <v/>
      </c>
      <c r="Q16" s="113">
        <v>12</v>
      </c>
      <c r="R16" s="114" t="str">
        <f>CHOOSE(WEEKDAY(Calendrier!G16,2),"L","Ma","Me","J","V","S","D")</f>
        <v>Ma</v>
      </c>
      <c r="S16" s="118"/>
      <c r="T16" s="33">
        <v>12</v>
      </c>
      <c r="U16" s="87" t="str">
        <f>CHOOSE(WEEKDAY(Calendrier!H16,2),"L","Ma","Me","J","V","S","D")</f>
        <v>Ma</v>
      </c>
      <c r="V16" s="100">
        <f t="shared" si="3"/>
        <v>0.38194444444444453</v>
      </c>
      <c r="W16" s="113">
        <v>12</v>
      </c>
      <c r="X16" s="114" t="str">
        <f>CHOOSE(WEEKDAY(Calendrier!I16,2),"L","Ma","Me","J","V","S","D")</f>
        <v>V</v>
      </c>
      <c r="Y16" s="115"/>
      <c r="Z16" s="33">
        <v>12</v>
      </c>
      <c r="AA16" s="87" t="str">
        <f>CHOOSE(WEEKDAY(Calendrier!J16,2),"L","Ma","Me","J","V","S","D")</f>
        <v>D</v>
      </c>
      <c r="AB16" s="65" t="str">
        <f t="shared" si="10"/>
        <v/>
      </c>
      <c r="AC16" s="33">
        <v>12</v>
      </c>
      <c r="AD16" s="87" t="str">
        <f>CHOOSE(WEEKDAY(Calendrier!K16,2),"L","Ma","Me","J","V","S","D")</f>
        <v>Me</v>
      </c>
      <c r="AE16" s="65">
        <f t="shared" si="5"/>
        <v>0</v>
      </c>
      <c r="AF16" s="113">
        <v>12</v>
      </c>
      <c r="AG16" s="114" t="str">
        <f>CHOOSE(WEEKDAY(Calendrier!L16,2),"L","Ma","Me","J","V","S","D")</f>
        <v>V</v>
      </c>
      <c r="AH16" s="115"/>
      <c r="AI16" s="113">
        <v>12</v>
      </c>
      <c r="AJ16" s="114" t="str">
        <f>CHOOSE(WEEKDAY(Calendrier!M16,2),"L","Ma","Me","J","V","S","D")</f>
        <v>L</v>
      </c>
      <c r="AK16" s="118"/>
      <c r="AL16" s="13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>
        <f t="shared" si="13"/>
        <v>0</v>
      </c>
      <c r="AX16" s="98">
        <f t="shared" si="8"/>
        <v>0</v>
      </c>
      <c r="AY16" s="98"/>
      <c r="AZ16" s="102"/>
      <c r="BA16" s="102"/>
    </row>
    <row r="17" spans="2:53" s="1" customFormat="1" ht="12" customHeight="1">
      <c r="B17" s="33">
        <v>13</v>
      </c>
      <c r="C17" s="87" t="str">
        <f>CHOOSE(WEEKDAY(Calendrier!B17,2),"L","Ma","Me","J","V","S","D")</f>
        <v>J</v>
      </c>
      <c r="D17" s="65">
        <f t="shared" si="9"/>
        <v>0.20833333333333337</v>
      </c>
      <c r="E17" s="33">
        <v>13</v>
      </c>
      <c r="F17" s="87" t="str">
        <f>CHOOSE(WEEKDAY(Calendrier!C17,2),"L","Ma","Me","J","V","S","D")</f>
        <v>S</v>
      </c>
      <c r="G17" s="65" t="str">
        <f t="shared" si="0"/>
        <v/>
      </c>
      <c r="H17" s="33">
        <v>13</v>
      </c>
      <c r="I17" s="87" t="str">
        <f>CHOOSE(WEEKDAY(Calendrier!D17,2),"L","Ma","Me","J","V","S","D")</f>
        <v>Ma</v>
      </c>
      <c r="J17" s="100">
        <f>IF(I17="L",$D$46,IF(I17="Ma",$G$46,IF(I17="Me",$J$46,IF(I17="J",$M$46,IF(I17="V",$P$46,"")))))</f>
        <v>0.38194444444444453</v>
      </c>
      <c r="K17" s="33">
        <v>13</v>
      </c>
      <c r="L17" s="87" t="str">
        <f>CHOOSE(WEEKDAY(Calendrier!E17,2),"L","Ma","Me","J","V","S","D")</f>
        <v>J</v>
      </c>
      <c r="M17" s="65">
        <f t="shared" si="1"/>
        <v>0.20833333333333337</v>
      </c>
      <c r="N17" s="33">
        <v>13</v>
      </c>
      <c r="O17" s="87" t="str">
        <f>CHOOSE(WEEKDAY(Calendrier!F17,2),"L","Ma","Me","J","V","S","D")</f>
        <v>D</v>
      </c>
      <c r="P17" s="65" t="str">
        <f t="shared" si="12"/>
        <v/>
      </c>
      <c r="Q17" s="113">
        <v>13</v>
      </c>
      <c r="R17" s="114" t="str">
        <f>CHOOSE(WEEKDAY(Calendrier!G17,2),"L","Ma","Me","J","V","S","D")</f>
        <v>Me</v>
      </c>
      <c r="S17" s="115"/>
      <c r="T17" s="33">
        <v>13</v>
      </c>
      <c r="U17" s="87" t="str">
        <f>CHOOSE(WEEKDAY(Calendrier!H17,2),"L","Ma","Me","J","V","S","D")</f>
        <v>Me</v>
      </c>
      <c r="V17" s="65">
        <f t="shared" si="3"/>
        <v>0</v>
      </c>
      <c r="W17" s="111">
        <v>13</v>
      </c>
      <c r="X17" s="112" t="str">
        <f>CHOOSE(WEEKDAY(Calendrier!I17,2),"L","Ma","Me","J","V","S","D")</f>
        <v>S</v>
      </c>
      <c r="Y17" s="115"/>
      <c r="Z17" s="33">
        <v>13</v>
      </c>
      <c r="AA17" s="87" t="str">
        <f>CHOOSE(WEEKDAY(Calendrier!J17,2),"L","Ma","Me","J","V","S","D")</f>
        <v>L</v>
      </c>
      <c r="AB17" s="100">
        <f t="shared" si="10"/>
        <v>0</v>
      </c>
      <c r="AC17" s="33">
        <v>13</v>
      </c>
      <c r="AD17" s="87" t="str">
        <f>CHOOSE(WEEKDAY(Calendrier!K17,2),"L","Ma","Me","J","V","S","D")</f>
        <v>J</v>
      </c>
      <c r="AE17" s="65">
        <f t="shared" si="5"/>
        <v>0.20833333333333337</v>
      </c>
      <c r="AF17" s="33">
        <v>13</v>
      </c>
      <c r="AG17" s="87" t="str">
        <f>CHOOSE(WEEKDAY(Calendrier!L17,2),"L","Ma","Me","J","V","S","D")</f>
        <v>S</v>
      </c>
      <c r="AH17" s="115"/>
      <c r="AI17" s="113">
        <v>13</v>
      </c>
      <c r="AJ17" s="114" t="str">
        <f>CHOOSE(WEEKDAY(Calendrier!M17,2),"L","Ma","Me","J","V","S","D")</f>
        <v>Ma</v>
      </c>
      <c r="AK17" s="118"/>
      <c r="AL17" s="13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f t="shared" si="13"/>
        <v>0</v>
      </c>
      <c r="AX17" s="98">
        <f t="shared" si="8"/>
        <v>0</v>
      </c>
      <c r="AY17" s="98"/>
      <c r="AZ17" s="102"/>
      <c r="BA17" s="102"/>
    </row>
    <row r="18" spans="2:53" s="1" customFormat="1" ht="12" customHeight="1">
      <c r="B18" s="33">
        <v>14</v>
      </c>
      <c r="C18" s="87" t="str">
        <f>CHOOSE(WEEKDAY(Calendrier!B18,2),"L","Ma","Me","J","V","S","D")</f>
        <v>V</v>
      </c>
      <c r="D18" s="65">
        <f t="shared" si="9"/>
        <v>0.16666666666666669</v>
      </c>
      <c r="E18" s="33">
        <v>14</v>
      </c>
      <c r="F18" s="87" t="str">
        <f>CHOOSE(WEEKDAY(Calendrier!C18,2),"L","Ma","Me","J","V","S","D")</f>
        <v>D</v>
      </c>
      <c r="G18" s="65" t="str">
        <f t="shared" si="0"/>
        <v/>
      </c>
      <c r="H18" s="33">
        <v>14</v>
      </c>
      <c r="I18" s="87" t="str">
        <f>CHOOSE(WEEKDAY(Calendrier!D18,2),"L","Ma","Me","J","V","S","D")</f>
        <v>Me</v>
      </c>
      <c r="J18" s="65">
        <f t="shared" si="11"/>
        <v>0</v>
      </c>
      <c r="K18" s="33">
        <v>14</v>
      </c>
      <c r="L18" s="87" t="str">
        <f>CHOOSE(WEEKDAY(Calendrier!E18,2),"L","Ma","Me","J","V","S","D")</f>
        <v>V</v>
      </c>
      <c r="M18" s="65">
        <f t="shared" si="1"/>
        <v>0.16666666666666669</v>
      </c>
      <c r="N18" s="33">
        <v>14</v>
      </c>
      <c r="O18" s="87" t="str">
        <f>CHOOSE(WEEKDAY(Calendrier!F18,2),"L","Ma","Me","J","V","S","D")</f>
        <v>L</v>
      </c>
      <c r="P18" s="100">
        <f t="shared" si="12"/>
        <v>0</v>
      </c>
      <c r="Q18" s="113">
        <v>14</v>
      </c>
      <c r="R18" s="114" t="str">
        <f>CHOOSE(WEEKDAY(Calendrier!G18,2),"L","Ma","Me","J","V","S","D")</f>
        <v>J</v>
      </c>
      <c r="S18" s="115"/>
      <c r="T18" s="33">
        <v>14</v>
      </c>
      <c r="U18" s="87" t="str">
        <f>CHOOSE(WEEKDAY(Calendrier!H18,2),"L","Ma","Me","J","V","S","D")</f>
        <v>J</v>
      </c>
      <c r="V18" s="65">
        <f t="shared" si="3"/>
        <v>0.20833333333333337</v>
      </c>
      <c r="W18" s="33">
        <v>14</v>
      </c>
      <c r="X18" s="87" t="str">
        <f>CHOOSE(WEEKDAY(Calendrier!I18,2),"L","Ma","Me","J","V","S","D")</f>
        <v>D</v>
      </c>
      <c r="Y18" s="115"/>
      <c r="Z18" s="33">
        <v>14</v>
      </c>
      <c r="AA18" s="87" t="str">
        <f>CHOOSE(WEEKDAY(Calendrier!J18,2),"L","Ma","Me","J","V","S","D")</f>
        <v>Ma</v>
      </c>
      <c r="AB18" s="100">
        <f t="shared" si="10"/>
        <v>0.38194444444444453</v>
      </c>
      <c r="AC18" s="33">
        <v>14</v>
      </c>
      <c r="AD18" s="87" t="str">
        <f>CHOOSE(WEEKDAY(Calendrier!K18,2),"L","Ma","Me","J","V","S","D")</f>
        <v>V</v>
      </c>
      <c r="AE18" s="65">
        <f t="shared" si="5"/>
        <v>0.16666666666666669</v>
      </c>
      <c r="AF18" s="33">
        <v>14</v>
      </c>
      <c r="AG18" s="87" t="str">
        <f>CHOOSE(WEEKDAY(Calendrier!L18,2),"L","Ma","Me","J","V","S","D")</f>
        <v>D</v>
      </c>
      <c r="AH18" s="101"/>
      <c r="AI18" s="113">
        <v>14</v>
      </c>
      <c r="AJ18" s="114" t="str">
        <f>CHOOSE(WEEKDAY(Calendrier!M18,2),"L","Ma","Me","J","V","S","D")</f>
        <v>Me</v>
      </c>
      <c r="AK18" s="115"/>
      <c r="AL18" s="13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>
        <f t="shared" si="8"/>
        <v>0</v>
      </c>
      <c r="AY18" s="98"/>
      <c r="AZ18" s="102"/>
      <c r="BA18" s="102"/>
    </row>
    <row r="19" spans="2:53" s="1" customFormat="1" ht="12" customHeight="1">
      <c r="B19" s="33">
        <v>15</v>
      </c>
      <c r="C19" s="87" t="str">
        <f>CHOOSE(WEEKDAY(Calendrier!B19,2),"L","Ma","Me","J","V","S","D")</f>
        <v>S</v>
      </c>
      <c r="D19" s="65" t="str">
        <f t="shared" si="9"/>
        <v/>
      </c>
      <c r="E19" s="33">
        <v>15</v>
      </c>
      <c r="F19" s="87" t="str">
        <f>CHOOSE(WEEKDAY(Calendrier!C19,2),"L","Ma","Me","J","V","S","D")</f>
        <v>L</v>
      </c>
      <c r="G19" s="100">
        <f t="shared" si="0"/>
        <v>0</v>
      </c>
      <c r="H19" s="33">
        <v>15</v>
      </c>
      <c r="I19" s="87" t="str">
        <f>CHOOSE(WEEKDAY(Calendrier!D19,2),"L","Ma","Me","J","V","S","D")</f>
        <v>J</v>
      </c>
      <c r="J19" s="65">
        <f t="shared" si="11"/>
        <v>0.20833333333333337</v>
      </c>
      <c r="K19" s="33">
        <v>15</v>
      </c>
      <c r="L19" s="87" t="str">
        <f>CHOOSE(WEEKDAY(Calendrier!E19,2),"L","Ma","Me","J","V","S","D")</f>
        <v>S</v>
      </c>
      <c r="M19" s="65" t="str">
        <f t="shared" si="1"/>
        <v/>
      </c>
      <c r="N19" s="33">
        <v>15</v>
      </c>
      <c r="O19" s="87" t="str">
        <f>CHOOSE(WEEKDAY(Calendrier!F19,2),"L","Ma","Me","J","V","S","D")</f>
        <v>Ma</v>
      </c>
      <c r="P19" s="100">
        <f t="shared" si="12"/>
        <v>0.38194444444444453</v>
      </c>
      <c r="Q19" s="113">
        <v>15</v>
      </c>
      <c r="R19" s="114" t="str">
        <f>CHOOSE(WEEKDAY(Calendrier!G19,2),"L","Ma","Me","J","V","S","D")</f>
        <v>V</v>
      </c>
      <c r="S19" s="115"/>
      <c r="T19" s="33">
        <v>15</v>
      </c>
      <c r="U19" s="87" t="str">
        <f>CHOOSE(WEEKDAY(Calendrier!H19,2),"L","Ma","Me","J","V","S","D")</f>
        <v>V</v>
      </c>
      <c r="V19" s="65">
        <f t="shared" si="3"/>
        <v>0.16666666666666669</v>
      </c>
      <c r="W19" s="113">
        <v>15</v>
      </c>
      <c r="X19" s="114" t="str">
        <f>CHOOSE(WEEKDAY(Calendrier!I19,2),"L","Ma","Me","J","V","S","D")</f>
        <v>L</v>
      </c>
      <c r="Y19" s="118"/>
      <c r="Z19" s="33">
        <v>15</v>
      </c>
      <c r="AA19" s="87" t="str">
        <f>CHOOSE(WEEKDAY(Calendrier!J19,2),"L","Ma","Me","J","V","S","D")</f>
        <v>Me</v>
      </c>
      <c r="AB19" s="65">
        <f t="shared" si="10"/>
        <v>0</v>
      </c>
      <c r="AC19" s="33">
        <v>15</v>
      </c>
      <c r="AD19" s="87" t="str">
        <f>CHOOSE(WEEKDAY(Calendrier!K19,2),"L","Ma","Me","J","V","S","D")</f>
        <v>S</v>
      </c>
      <c r="AE19" s="65" t="str">
        <f t="shared" si="5"/>
        <v/>
      </c>
      <c r="AF19" s="113">
        <v>15</v>
      </c>
      <c r="AG19" s="114" t="str">
        <f>CHOOSE(WEEKDAY(Calendrier!L19,2),"L","Ma","Me","J","V","S","D")</f>
        <v>L</v>
      </c>
      <c r="AH19" s="118"/>
      <c r="AI19" s="113">
        <v>15</v>
      </c>
      <c r="AJ19" s="114" t="str">
        <f>CHOOSE(WEEKDAY(Calendrier!M19,2),"L","Ma","Me","J","V","S","D")</f>
        <v>J</v>
      </c>
      <c r="AK19" s="101"/>
      <c r="AL19" s="13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>
        <f t="shared" ref="AW19:AW35" si="14">IF(AH19&lt;&gt;"",1,)</f>
        <v>0</v>
      </c>
      <c r="AX19" s="98"/>
      <c r="AY19" s="98"/>
      <c r="AZ19" s="102"/>
      <c r="BA19" s="102"/>
    </row>
    <row r="20" spans="2:53" s="1" customFormat="1" ht="12" customHeight="1">
      <c r="B20" s="33">
        <v>16</v>
      </c>
      <c r="C20" s="87" t="str">
        <f>CHOOSE(WEEKDAY(Calendrier!B20,2),"L","Ma","Me","J","V","S","D")</f>
        <v>D</v>
      </c>
      <c r="D20" s="65" t="str">
        <f>IF(C20="L",$D$46,IF(C20="Ma",$G$46,IF(C20="Me",$J$46,IF(C20="J",$M$46,IF(C20="V",$P$46,"")))))</f>
        <v/>
      </c>
      <c r="E20" s="33">
        <v>16</v>
      </c>
      <c r="F20" s="87" t="str">
        <f>CHOOSE(WEEKDAY(Calendrier!C20,2),"L","Ma","Me","J","V","S","D")</f>
        <v>Ma</v>
      </c>
      <c r="G20" s="100">
        <f t="shared" si="0"/>
        <v>0.38194444444444453</v>
      </c>
      <c r="H20" s="33">
        <v>16</v>
      </c>
      <c r="I20" s="87" t="str">
        <f>CHOOSE(WEEKDAY(Calendrier!D20,2),"L","Ma","Me","J","V","S","D")</f>
        <v>V</v>
      </c>
      <c r="J20" s="65">
        <f t="shared" si="11"/>
        <v>0.16666666666666669</v>
      </c>
      <c r="K20" s="33">
        <v>16</v>
      </c>
      <c r="L20" s="87" t="str">
        <f>CHOOSE(WEEKDAY(Calendrier!E20,2),"L","Ma","Me","J","V","S","D")</f>
        <v>D</v>
      </c>
      <c r="M20" s="65" t="str">
        <f t="shared" si="1"/>
        <v/>
      </c>
      <c r="N20" s="33">
        <v>16</v>
      </c>
      <c r="O20" s="87" t="str">
        <f>CHOOSE(WEEKDAY(Calendrier!F20,2),"L","Ma","Me","J","V","S","D")</f>
        <v>Me</v>
      </c>
      <c r="P20" s="65">
        <f t="shared" si="12"/>
        <v>0</v>
      </c>
      <c r="Q20" s="111">
        <v>16</v>
      </c>
      <c r="R20" s="112" t="str">
        <f>CHOOSE(WEEKDAY(Calendrier!G20,2),"L","Ma","Me","J","V","S","D")</f>
        <v>S</v>
      </c>
      <c r="S20" s="115"/>
      <c r="T20" s="33">
        <v>16</v>
      </c>
      <c r="U20" s="87" t="str">
        <f>CHOOSE(WEEKDAY(Calendrier!H20,2),"L","Ma","Me","J","V","S","D")</f>
        <v>S</v>
      </c>
      <c r="V20" s="65" t="str">
        <f t="shared" si="3"/>
        <v/>
      </c>
      <c r="W20" s="113">
        <v>16</v>
      </c>
      <c r="X20" s="114" t="str">
        <f>CHOOSE(WEEKDAY(Calendrier!I20,2),"L","Ma","Me","J","V","S","D")</f>
        <v>Ma</v>
      </c>
      <c r="Y20" s="118"/>
      <c r="Z20" s="33">
        <v>16</v>
      </c>
      <c r="AA20" s="87" t="str">
        <f>CHOOSE(WEEKDAY(Calendrier!J20,2),"L","Ma","Me","J","V","S","D")</f>
        <v>J</v>
      </c>
      <c r="AB20" s="65">
        <f t="shared" si="10"/>
        <v>0.20833333333333337</v>
      </c>
      <c r="AC20" s="33">
        <v>16</v>
      </c>
      <c r="AD20" s="87" t="str">
        <f>CHOOSE(WEEKDAY(Calendrier!K20,2),"L","Ma","Me","J","V","S","D")</f>
        <v>D</v>
      </c>
      <c r="AE20" s="65" t="str">
        <f t="shared" si="5"/>
        <v/>
      </c>
      <c r="AF20" s="113">
        <v>16</v>
      </c>
      <c r="AG20" s="114" t="str">
        <f>CHOOSE(WEEKDAY(Calendrier!L20,2),"L","Ma","Me","J","V","S","D")</f>
        <v>Ma</v>
      </c>
      <c r="AH20" s="118"/>
      <c r="AI20" s="113">
        <v>16</v>
      </c>
      <c r="AJ20" s="114" t="str">
        <f>CHOOSE(WEEKDAY(Calendrier!M20,2),"L","Ma","Me","J","V","S","D")</f>
        <v>V</v>
      </c>
      <c r="AK20" s="115"/>
      <c r="AL20" s="13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>
        <f t="shared" si="14"/>
        <v>0</v>
      </c>
      <c r="AX20" s="98">
        <f t="shared" ref="AX20:AX35" si="15">IF(AK20&lt;&gt;"",1,)</f>
        <v>0</v>
      </c>
      <c r="AY20" s="98"/>
      <c r="AZ20" s="102"/>
      <c r="BA20" s="102"/>
    </row>
    <row r="21" spans="2:53" s="1" customFormat="1" ht="12" customHeight="1">
      <c r="B21" s="33">
        <v>17</v>
      </c>
      <c r="C21" s="87" t="str">
        <f>CHOOSE(WEEKDAY(Calendrier!B21,2),"L","Ma","Me","J","V","S","D")</f>
        <v>L</v>
      </c>
      <c r="D21" s="100">
        <f t="shared" si="9"/>
        <v>0</v>
      </c>
      <c r="E21" s="33">
        <v>17</v>
      </c>
      <c r="F21" s="87" t="str">
        <f>CHOOSE(WEEKDAY(Calendrier!C21,2),"L","Ma","Me","J","V","S","D")</f>
        <v>Me</v>
      </c>
      <c r="G21" s="65">
        <f t="shared" si="0"/>
        <v>0</v>
      </c>
      <c r="H21" s="33">
        <v>17</v>
      </c>
      <c r="I21" s="87" t="str">
        <f>CHOOSE(WEEKDAY(Calendrier!D21,2),"L","Ma","Me","J","V","S","D")</f>
        <v>S</v>
      </c>
      <c r="J21" s="65" t="str">
        <f t="shared" si="11"/>
        <v/>
      </c>
      <c r="K21" s="33">
        <v>17</v>
      </c>
      <c r="L21" s="87" t="str">
        <f>CHOOSE(WEEKDAY(Calendrier!E21,2),"L","Ma","Me","J","V","S","D")</f>
        <v>L</v>
      </c>
      <c r="M21" s="100">
        <f t="shared" si="1"/>
        <v>0</v>
      </c>
      <c r="N21" s="33">
        <v>17</v>
      </c>
      <c r="O21" s="87" t="str">
        <f>CHOOSE(WEEKDAY(Calendrier!F21,2),"L","Ma","Me","J","V","S","D")</f>
        <v>J</v>
      </c>
      <c r="P21" s="65">
        <f t="shared" si="12"/>
        <v>0.20833333333333337</v>
      </c>
      <c r="Q21" s="33">
        <v>17</v>
      </c>
      <c r="R21" s="87" t="str">
        <f>CHOOSE(WEEKDAY(Calendrier!G21,2),"L","Ma","Me","J","V","S","D")</f>
        <v>D</v>
      </c>
      <c r="S21" s="115"/>
      <c r="T21" s="33">
        <v>17</v>
      </c>
      <c r="U21" s="87" t="str">
        <f>CHOOSE(WEEKDAY(Calendrier!H21,2),"L","Ma","Me","J","V","S","D")</f>
        <v>D</v>
      </c>
      <c r="V21" s="65" t="str">
        <f t="shared" si="3"/>
        <v/>
      </c>
      <c r="W21" s="113">
        <v>17</v>
      </c>
      <c r="X21" s="114" t="str">
        <f>CHOOSE(WEEKDAY(Calendrier!I21,2),"L","Ma","Me","J","V","S","D")</f>
        <v>Me</v>
      </c>
      <c r="Y21" s="118"/>
      <c r="Z21" s="33">
        <v>17</v>
      </c>
      <c r="AA21" s="87" t="str">
        <f>CHOOSE(WEEKDAY(Calendrier!J21,2),"L","Ma","Me","J","V","S","D")</f>
        <v>V</v>
      </c>
      <c r="AB21" s="65">
        <f t="shared" si="10"/>
        <v>0.16666666666666669</v>
      </c>
      <c r="AC21" s="33">
        <v>17</v>
      </c>
      <c r="AD21" s="87" t="str">
        <f>CHOOSE(WEEKDAY(Calendrier!K21,2),"L","Ma","Me","J","V","S","D")</f>
        <v>L</v>
      </c>
      <c r="AE21" s="100">
        <f t="shared" si="5"/>
        <v>0</v>
      </c>
      <c r="AF21" s="113">
        <v>17</v>
      </c>
      <c r="AG21" s="114" t="str">
        <f>CHOOSE(WEEKDAY(Calendrier!L21,2),"L","Ma","Me","J","V","S","D")</f>
        <v>Me</v>
      </c>
      <c r="AH21" s="115"/>
      <c r="AI21" s="33">
        <v>17</v>
      </c>
      <c r="AJ21" s="87" t="str">
        <f>CHOOSE(WEEKDAY(Calendrier!M21,2),"L","Ma","Me","J","V","S","D")</f>
        <v>S</v>
      </c>
      <c r="AK21" s="115"/>
      <c r="AL21" s="13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>
        <f t="shared" si="14"/>
        <v>0</v>
      </c>
      <c r="AX21" s="98">
        <f t="shared" si="15"/>
        <v>0</v>
      </c>
      <c r="AY21" s="98"/>
      <c r="AZ21" s="102"/>
      <c r="BA21" s="102"/>
    </row>
    <row r="22" spans="2:53" s="1" customFormat="1" ht="12" customHeight="1">
      <c r="B22" s="33">
        <v>18</v>
      </c>
      <c r="C22" s="87" t="str">
        <f>CHOOSE(WEEKDAY(Calendrier!B22,2),"L","Ma","Me","J","V","S","D")</f>
        <v>Ma</v>
      </c>
      <c r="D22" s="100">
        <f t="shared" si="9"/>
        <v>0.38194444444444453</v>
      </c>
      <c r="E22" s="33">
        <v>18</v>
      </c>
      <c r="F22" s="87" t="str">
        <f>CHOOSE(WEEKDAY(Calendrier!C22,2),"L","Ma","Me","J","V","S","D")</f>
        <v>J</v>
      </c>
      <c r="G22" s="65">
        <f t="shared" si="0"/>
        <v>0.20833333333333337</v>
      </c>
      <c r="H22" s="33">
        <v>18</v>
      </c>
      <c r="I22" s="87" t="str">
        <f>CHOOSE(WEEKDAY(Calendrier!D22,2),"L","Ma","Me","J","V","S","D")</f>
        <v>D</v>
      </c>
      <c r="J22" s="65" t="str">
        <f t="shared" si="11"/>
        <v/>
      </c>
      <c r="K22" s="33">
        <v>18</v>
      </c>
      <c r="L22" s="87" t="str">
        <f>CHOOSE(WEEKDAY(Calendrier!E22,2),"L","Ma","Me","J","V","S","D")</f>
        <v>Ma</v>
      </c>
      <c r="M22" s="100">
        <f t="shared" si="1"/>
        <v>0.38194444444444453</v>
      </c>
      <c r="N22" s="33">
        <v>18</v>
      </c>
      <c r="O22" s="87" t="str">
        <f>CHOOSE(WEEKDAY(Calendrier!F22,2),"L","Ma","Me","J","V","S","D")</f>
        <v>V</v>
      </c>
      <c r="P22" s="65">
        <f t="shared" si="12"/>
        <v>0.16666666666666669</v>
      </c>
      <c r="Q22" s="113">
        <v>18</v>
      </c>
      <c r="R22" s="114" t="str">
        <f>CHOOSE(WEEKDAY(Calendrier!G22,2),"L","Ma","Me","J","V","S","D")</f>
        <v>L</v>
      </c>
      <c r="S22" s="118"/>
      <c r="T22" s="33">
        <v>18</v>
      </c>
      <c r="U22" s="87" t="str">
        <f>CHOOSE(WEEKDAY(Calendrier!H22,2),"L","Ma","Me","J","V","S","D")</f>
        <v>L</v>
      </c>
      <c r="V22" s="100">
        <f t="shared" si="3"/>
        <v>0</v>
      </c>
      <c r="W22" s="113">
        <v>18</v>
      </c>
      <c r="X22" s="114" t="str">
        <f>CHOOSE(WEEKDAY(Calendrier!I22,2),"L","Ma","Me","J","V","S","D")</f>
        <v>J</v>
      </c>
      <c r="Y22" s="115"/>
      <c r="Z22" s="33">
        <v>18</v>
      </c>
      <c r="AA22" s="87" t="str">
        <f>CHOOSE(WEEKDAY(Calendrier!J22,2),"L","Ma","Me","J","V","S","D")</f>
        <v>S</v>
      </c>
      <c r="AB22" s="65" t="str">
        <f t="shared" si="10"/>
        <v/>
      </c>
      <c r="AC22" s="33">
        <v>18</v>
      </c>
      <c r="AD22" s="87" t="str">
        <f>CHOOSE(WEEKDAY(Calendrier!K22,2),"L","Ma","Me","J","V","S","D")</f>
        <v>Ma</v>
      </c>
      <c r="AE22" s="100">
        <f t="shared" si="5"/>
        <v>0.38194444444444453</v>
      </c>
      <c r="AF22" s="113">
        <v>18</v>
      </c>
      <c r="AG22" s="114" t="str">
        <f>CHOOSE(WEEKDAY(Calendrier!L22,2),"L","Ma","Me","J","V","S","D")</f>
        <v>J</v>
      </c>
      <c r="AH22" s="115"/>
      <c r="AI22" s="33">
        <v>18</v>
      </c>
      <c r="AJ22" s="87" t="str">
        <f>CHOOSE(WEEKDAY(Calendrier!M22,2),"L","Ma","Me","J","V","S","D")</f>
        <v>D</v>
      </c>
      <c r="AK22" s="115"/>
      <c r="AL22" s="13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>
        <f t="shared" si="14"/>
        <v>0</v>
      </c>
      <c r="AX22" s="98">
        <f t="shared" si="15"/>
        <v>0</v>
      </c>
      <c r="AY22" s="98"/>
      <c r="AZ22" s="102"/>
      <c r="BA22" s="102"/>
    </row>
    <row r="23" spans="2:53" s="1" customFormat="1" ht="12" customHeight="1">
      <c r="B23" s="33">
        <v>19</v>
      </c>
      <c r="C23" s="87" t="str">
        <f>CHOOSE(WEEKDAY(Calendrier!B23,2),"L","Ma","Me","J","V","S","D")</f>
        <v>Me</v>
      </c>
      <c r="D23" s="65">
        <f t="shared" si="9"/>
        <v>0</v>
      </c>
      <c r="E23" s="33">
        <v>19</v>
      </c>
      <c r="F23" s="87" t="str">
        <f>CHOOSE(WEEKDAY(Calendrier!C23,2),"L","Ma","Me","J","V","S","D")</f>
        <v>V</v>
      </c>
      <c r="G23" s="65">
        <f t="shared" si="0"/>
        <v>0.16666666666666669</v>
      </c>
      <c r="H23" s="33">
        <v>19</v>
      </c>
      <c r="I23" s="87" t="str">
        <f>CHOOSE(WEEKDAY(Calendrier!D23,2),"L","Ma","Me","J","V","S","D")</f>
        <v>L</v>
      </c>
      <c r="J23" s="100">
        <f t="shared" si="11"/>
        <v>0</v>
      </c>
      <c r="K23" s="33">
        <v>19</v>
      </c>
      <c r="L23" s="87" t="str">
        <f>CHOOSE(WEEKDAY(Calendrier!E23,2),"L","Ma","Me","J","V","S","D")</f>
        <v>Me</v>
      </c>
      <c r="M23" s="65">
        <f t="shared" si="1"/>
        <v>0</v>
      </c>
      <c r="N23" s="33">
        <v>19</v>
      </c>
      <c r="O23" s="87" t="str">
        <f>CHOOSE(WEEKDAY(Calendrier!F23,2),"L","Ma","Me","J","V","S","D")</f>
        <v>S</v>
      </c>
      <c r="P23" s="65" t="str">
        <f t="shared" si="12"/>
        <v/>
      </c>
      <c r="Q23" s="113">
        <v>19</v>
      </c>
      <c r="R23" s="114" t="str">
        <f>CHOOSE(WEEKDAY(Calendrier!G23,2),"L","Ma","Me","J","V","S","D")</f>
        <v>Ma</v>
      </c>
      <c r="S23" s="118"/>
      <c r="T23" s="33">
        <v>19</v>
      </c>
      <c r="U23" s="87" t="str">
        <f>CHOOSE(WEEKDAY(Calendrier!H23,2),"L","Ma","Me","J","V","S","D")</f>
        <v>Ma</v>
      </c>
      <c r="V23" s="100">
        <f t="shared" si="3"/>
        <v>0.38194444444444453</v>
      </c>
      <c r="W23" s="113">
        <v>19</v>
      </c>
      <c r="X23" s="114" t="str">
        <f>CHOOSE(WEEKDAY(Calendrier!I23,2),"L","Ma","Me","J","V","S","D")</f>
        <v>V</v>
      </c>
      <c r="Y23" s="115"/>
      <c r="Z23" s="33">
        <v>19</v>
      </c>
      <c r="AA23" s="87" t="str">
        <f>CHOOSE(WEEKDAY(Calendrier!J23,2),"L","Ma","Me","J","V","S","D")</f>
        <v>D</v>
      </c>
      <c r="AB23" s="65" t="str">
        <f t="shared" si="10"/>
        <v/>
      </c>
      <c r="AC23" s="33">
        <v>19</v>
      </c>
      <c r="AD23" s="87" t="str">
        <f>CHOOSE(WEEKDAY(Calendrier!K23,2),"L","Ma","Me","J","V","S","D")</f>
        <v>Me</v>
      </c>
      <c r="AE23" s="65">
        <f t="shared" si="5"/>
        <v>0</v>
      </c>
      <c r="AF23" s="113">
        <v>19</v>
      </c>
      <c r="AG23" s="114" t="str">
        <f>CHOOSE(WEEKDAY(Calendrier!L23,2),"L","Ma","Me","J","V","S","D")</f>
        <v>V</v>
      </c>
      <c r="AH23" s="115"/>
      <c r="AI23" s="113">
        <v>19</v>
      </c>
      <c r="AJ23" s="114" t="str">
        <f>CHOOSE(WEEKDAY(Calendrier!M23,2),"L","Ma","Me","J","V","S","D")</f>
        <v>L</v>
      </c>
      <c r="AK23" s="118"/>
      <c r="AL23" s="13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f t="shared" si="14"/>
        <v>0</v>
      </c>
      <c r="AX23" s="98">
        <f t="shared" si="15"/>
        <v>0</v>
      </c>
      <c r="AY23" s="98"/>
      <c r="AZ23" s="102"/>
      <c r="BA23" s="102"/>
    </row>
    <row r="24" spans="2:53" s="1" customFormat="1" ht="12" customHeight="1">
      <c r="B24" s="33">
        <v>20</v>
      </c>
      <c r="C24" s="87" t="str">
        <f>CHOOSE(WEEKDAY(Calendrier!B24,2),"L","Ma","Me","J","V","S","D")</f>
        <v>J</v>
      </c>
      <c r="D24" s="65">
        <f t="shared" si="9"/>
        <v>0.20833333333333337</v>
      </c>
      <c r="E24" s="33">
        <v>20</v>
      </c>
      <c r="F24" s="87" t="str">
        <f>CHOOSE(WEEKDAY(Calendrier!C24,2),"L","Ma","Me","J","V","S","D")</f>
        <v>S</v>
      </c>
      <c r="G24" s="115"/>
      <c r="H24" s="33">
        <v>20</v>
      </c>
      <c r="I24" s="87" t="str">
        <f>CHOOSE(WEEKDAY(Calendrier!D24,2),"L","Ma","Me","J","V","S","D")</f>
        <v>Ma</v>
      </c>
      <c r="J24" s="100">
        <f t="shared" si="11"/>
        <v>0.38194444444444453</v>
      </c>
      <c r="K24" s="33">
        <v>20</v>
      </c>
      <c r="L24" s="87" t="str">
        <f>CHOOSE(WEEKDAY(Calendrier!E24,2),"L","Ma","Me","J","V","S","D")</f>
        <v>J</v>
      </c>
      <c r="M24" s="65">
        <f t="shared" si="1"/>
        <v>0.20833333333333337</v>
      </c>
      <c r="N24" s="33">
        <v>20</v>
      </c>
      <c r="O24" s="87" t="str">
        <f>CHOOSE(WEEKDAY(Calendrier!F24,2),"L","Ma","Me","J","V","S","D")</f>
        <v>D</v>
      </c>
      <c r="P24" s="65" t="str">
        <f t="shared" si="12"/>
        <v/>
      </c>
      <c r="Q24" s="113">
        <v>20</v>
      </c>
      <c r="R24" s="114" t="str">
        <f>CHOOSE(WEEKDAY(Calendrier!G24,2),"L","Ma","Me","J","V","S","D")</f>
        <v>Me</v>
      </c>
      <c r="S24" s="115"/>
      <c r="T24" s="33">
        <v>20</v>
      </c>
      <c r="U24" s="87" t="str">
        <f>CHOOSE(WEEKDAY(Calendrier!H24,2),"L","Ma","Me","J","V","S","D")</f>
        <v>Me</v>
      </c>
      <c r="V24" s="65">
        <f t="shared" si="3"/>
        <v>0</v>
      </c>
      <c r="W24" s="111">
        <v>20</v>
      </c>
      <c r="X24" s="112" t="str">
        <f>CHOOSE(WEEKDAY(Calendrier!I24,2),"L","Ma","Me","J","V","S","D")</f>
        <v>S</v>
      </c>
      <c r="Y24" s="115"/>
      <c r="Z24" s="33">
        <v>20</v>
      </c>
      <c r="AA24" s="87" t="str">
        <f>CHOOSE(WEEKDAY(Calendrier!J24,2),"L","Ma","Me","J","V","S","D")</f>
        <v>L</v>
      </c>
      <c r="AB24" s="100">
        <f t="shared" si="10"/>
        <v>0</v>
      </c>
      <c r="AC24" s="33">
        <v>20</v>
      </c>
      <c r="AD24" s="87" t="str">
        <f>CHOOSE(WEEKDAY(Calendrier!K24,2),"L","Ma","Me","J","V","S","D")</f>
        <v>J</v>
      </c>
      <c r="AE24" s="65">
        <f t="shared" si="5"/>
        <v>0.20833333333333337</v>
      </c>
      <c r="AF24" s="33">
        <v>20</v>
      </c>
      <c r="AG24" s="87" t="str">
        <f>CHOOSE(WEEKDAY(Calendrier!L24,2),"L","Ma","Me","J","V","S","D")</f>
        <v>S</v>
      </c>
      <c r="AH24" s="115"/>
      <c r="AI24" s="113">
        <v>20</v>
      </c>
      <c r="AJ24" s="114" t="str">
        <f>CHOOSE(WEEKDAY(Calendrier!M24,2),"L","Ma","Me","J","V","S","D")</f>
        <v>Ma</v>
      </c>
      <c r="AK24" s="118"/>
      <c r="AL24" s="13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>
        <f t="shared" si="14"/>
        <v>0</v>
      </c>
      <c r="AX24" s="98">
        <f t="shared" si="15"/>
        <v>0</v>
      </c>
      <c r="AY24" s="98"/>
      <c r="AZ24" s="102"/>
      <c r="BA24" s="102"/>
    </row>
    <row r="25" spans="2:53" s="1" customFormat="1" ht="12" customHeight="1">
      <c r="B25" s="33">
        <v>21</v>
      </c>
      <c r="C25" s="87" t="str">
        <f>CHOOSE(WEEKDAY(Calendrier!B25,2),"L","Ma","Me","J","V","S","D")</f>
        <v>V</v>
      </c>
      <c r="D25" s="65">
        <f>IF(C25="L",$D$46,IF(C25="Ma",$G$46,IF(C25="Me",$J$46,IF(C25="J",$M$46,IF(C25="V",$P$46,"")))))</f>
        <v>0.16666666666666669</v>
      </c>
      <c r="E25" s="33">
        <v>21</v>
      </c>
      <c r="F25" s="87" t="str">
        <f>CHOOSE(WEEKDAY(Calendrier!C25,2),"L","Ma","Me","J","V","S","D")</f>
        <v>D</v>
      </c>
      <c r="G25" s="115"/>
      <c r="H25" s="33">
        <v>21</v>
      </c>
      <c r="I25" s="87" t="str">
        <f>CHOOSE(WEEKDAY(Calendrier!D25,2),"L","Ma","Me","J","V","S","D")</f>
        <v>Me</v>
      </c>
      <c r="J25" s="65">
        <f t="shared" si="11"/>
        <v>0</v>
      </c>
      <c r="K25" s="33">
        <v>21</v>
      </c>
      <c r="L25" s="87" t="str">
        <f>CHOOSE(WEEKDAY(Calendrier!E25,2),"L","Ma","Me","J","V","S","D")</f>
        <v>V</v>
      </c>
      <c r="M25" s="65">
        <f t="shared" si="1"/>
        <v>0.16666666666666669</v>
      </c>
      <c r="N25" s="33">
        <v>21</v>
      </c>
      <c r="O25" s="87" t="str">
        <f>CHOOSE(WEEKDAY(Calendrier!F25,2),"L","Ma","Me","J","V","S","D")</f>
        <v>L</v>
      </c>
      <c r="P25" s="100">
        <f t="shared" si="12"/>
        <v>0</v>
      </c>
      <c r="Q25" s="113">
        <v>21</v>
      </c>
      <c r="R25" s="114" t="str">
        <f>CHOOSE(WEEKDAY(Calendrier!G25,2),"L","Ma","Me","J","V","S","D")</f>
        <v>J</v>
      </c>
      <c r="S25" s="115"/>
      <c r="T25" s="33">
        <v>21</v>
      </c>
      <c r="U25" s="87" t="str">
        <f>CHOOSE(WEEKDAY(Calendrier!H25,2),"L","Ma","Me","J","V","S","D")</f>
        <v>J</v>
      </c>
      <c r="V25" s="65">
        <f t="shared" si="3"/>
        <v>0.20833333333333337</v>
      </c>
      <c r="W25" s="111">
        <v>21</v>
      </c>
      <c r="X25" s="112" t="str">
        <f>CHOOSE(WEEKDAY(Calendrier!I25,2),"L","Ma","Me","J","V","S","D")</f>
        <v>D</v>
      </c>
      <c r="Y25" s="115"/>
      <c r="Z25" s="33">
        <v>21</v>
      </c>
      <c r="AA25" s="87" t="str">
        <f>CHOOSE(WEEKDAY(Calendrier!J25,2),"L","Ma","Me","J","V","S","D")</f>
        <v>Ma</v>
      </c>
      <c r="AB25" s="100">
        <f t="shared" si="10"/>
        <v>0.38194444444444453</v>
      </c>
      <c r="AC25" s="33">
        <v>21</v>
      </c>
      <c r="AD25" s="87" t="str">
        <f>CHOOSE(WEEKDAY(Calendrier!K25,2),"L","Ma","Me","J","V","S","D")</f>
        <v>V</v>
      </c>
      <c r="AE25" s="65">
        <f t="shared" si="5"/>
        <v>0.16666666666666669</v>
      </c>
      <c r="AF25" s="33">
        <v>21</v>
      </c>
      <c r="AG25" s="87" t="str">
        <f>CHOOSE(WEEKDAY(Calendrier!L25,2),"L","Ma","Me","J","V","S","D")</f>
        <v>D</v>
      </c>
      <c r="AH25" s="115"/>
      <c r="AI25" s="113">
        <v>21</v>
      </c>
      <c r="AJ25" s="114" t="str">
        <f>CHOOSE(WEEKDAY(Calendrier!M25,2),"L","Ma","Me","J","V","S","D")</f>
        <v>Me</v>
      </c>
      <c r="AK25" s="115"/>
      <c r="AL25" s="13"/>
      <c r="AM25" s="98"/>
      <c r="AN25" s="98">
        <f>IF(G25&lt;&gt;"",1,)</f>
        <v>0</v>
      </c>
      <c r="AO25" s="98"/>
      <c r="AP25" s="98"/>
      <c r="AQ25" s="98"/>
      <c r="AR25" s="98"/>
      <c r="AS25" s="98"/>
      <c r="AT25" s="98"/>
      <c r="AU25" s="98"/>
      <c r="AV25" s="98"/>
      <c r="AW25" s="98">
        <f t="shared" si="14"/>
        <v>0</v>
      </c>
      <c r="AX25" s="98">
        <f t="shared" si="15"/>
        <v>0</v>
      </c>
      <c r="AY25" s="98"/>
      <c r="AZ25" s="102"/>
      <c r="BA25" s="102"/>
    </row>
    <row r="26" spans="2:53" s="1" customFormat="1" ht="12" customHeight="1">
      <c r="B26" s="33">
        <v>22</v>
      </c>
      <c r="C26" s="87" t="str">
        <f>CHOOSE(WEEKDAY(Calendrier!B26,2),"L","Ma","Me","J","V","S","D")</f>
        <v>S</v>
      </c>
      <c r="D26" s="65" t="str">
        <f t="shared" si="9"/>
        <v/>
      </c>
      <c r="E26" s="113">
        <v>22</v>
      </c>
      <c r="F26" s="114" t="str">
        <f>CHOOSE(WEEKDAY(Calendrier!C26,2),"L","Ma","Me","J","V","S","D")</f>
        <v>L</v>
      </c>
      <c r="G26" s="118">
        <v>0.25</v>
      </c>
      <c r="H26" s="33">
        <v>22</v>
      </c>
      <c r="I26" s="87" t="str">
        <f>CHOOSE(WEEKDAY(Calendrier!D26,2),"L","Ma","Me","J","V","S","D")</f>
        <v>J</v>
      </c>
      <c r="J26" s="65">
        <f t="shared" si="11"/>
        <v>0.20833333333333337</v>
      </c>
      <c r="K26" s="33">
        <v>22</v>
      </c>
      <c r="L26" s="87" t="str">
        <f>CHOOSE(WEEKDAY(Calendrier!E26,2),"L","Ma","Me","J","V","S","D")</f>
        <v>S</v>
      </c>
      <c r="M26" s="115"/>
      <c r="N26" s="33">
        <v>22</v>
      </c>
      <c r="O26" s="87" t="str">
        <f>CHOOSE(WEEKDAY(Calendrier!F26,2),"L","Ma","Me","J","V","S","D")</f>
        <v>Ma</v>
      </c>
      <c r="P26" s="100">
        <f t="shared" si="12"/>
        <v>0.38194444444444453</v>
      </c>
      <c r="Q26" s="113">
        <v>22</v>
      </c>
      <c r="R26" s="114" t="str">
        <f>CHOOSE(WEEKDAY(Calendrier!G26,2),"L","Ma","Me","J","V","S","D")</f>
        <v>V</v>
      </c>
      <c r="S26" s="115"/>
      <c r="T26" s="33">
        <v>22</v>
      </c>
      <c r="U26" s="87" t="str">
        <f>CHOOSE(WEEKDAY(Calendrier!H26,2),"L","Ma","Me","J","V","S","D")</f>
        <v>V</v>
      </c>
      <c r="V26" s="65">
        <f t="shared" si="3"/>
        <v>0.16666666666666669</v>
      </c>
      <c r="W26" s="111">
        <v>22</v>
      </c>
      <c r="X26" s="112" t="str">
        <f>CHOOSE(WEEKDAY(Calendrier!I26,2),"L","Ma","Me","J","V","S","D")</f>
        <v>L</v>
      </c>
      <c r="Y26" s="117"/>
      <c r="Z26" s="33">
        <v>22</v>
      </c>
      <c r="AA26" s="87" t="str">
        <f>CHOOSE(WEEKDAY(Calendrier!J26,2),"L","Ma","Me","J","V","S","D")</f>
        <v>Me</v>
      </c>
      <c r="AB26" s="65">
        <f t="shared" si="10"/>
        <v>0</v>
      </c>
      <c r="AC26" s="33">
        <v>22</v>
      </c>
      <c r="AD26" s="87" t="str">
        <f>CHOOSE(WEEKDAY(Calendrier!K26,2),"L","Ma","Me","J","V","S","D")</f>
        <v>S</v>
      </c>
      <c r="AE26" s="65" t="str">
        <f t="shared" si="5"/>
        <v/>
      </c>
      <c r="AF26" s="113">
        <v>22</v>
      </c>
      <c r="AG26" s="114" t="str">
        <f>CHOOSE(WEEKDAY(Calendrier!L26,2),"L","Ma","Me","J","V","S","D")</f>
        <v>L</v>
      </c>
      <c r="AH26" s="118"/>
      <c r="AI26" s="113">
        <v>22</v>
      </c>
      <c r="AJ26" s="114" t="str">
        <f>CHOOSE(WEEKDAY(Calendrier!M26,2),"L","Ma","Me","J","V","S","D")</f>
        <v>J</v>
      </c>
      <c r="AK26" s="115"/>
      <c r="AL26" s="13"/>
      <c r="AM26" s="98"/>
      <c r="AN26" s="98">
        <f t="shared" ref="AN26:AN35" si="16">IF(G26&lt;&gt;"",1,)</f>
        <v>1</v>
      </c>
      <c r="AO26" s="98"/>
      <c r="AP26" s="98"/>
      <c r="AQ26" s="98"/>
      <c r="AR26" s="98"/>
      <c r="AS26" s="98"/>
      <c r="AT26" s="98">
        <f t="shared" ref="AT26:AT34" si="17">IF(Y26&lt;&gt;"",1,)</f>
        <v>0</v>
      </c>
      <c r="AU26" s="98"/>
      <c r="AV26" s="98"/>
      <c r="AW26" s="98">
        <f t="shared" si="14"/>
        <v>0</v>
      </c>
      <c r="AX26" s="98">
        <f t="shared" si="15"/>
        <v>0</v>
      </c>
      <c r="AY26" s="98"/>
      <c r="AZ26" s="102"/>
      <c r="BA26" s="102"/>
    </row>
    <row r="27" spans="2:53" s="1" customFormat="1" ht="12" customHeight="1">
      <c r="B27" s="33">
        <v>23</v>
      </c>
      <c r="C27" s="87" t="str">
        <f>CHOOSE(WEEKDAY(Calendrier!B27,2),"L","Ma","Me","J","V","S","D")</f>
        <v>D</v>
      </c>
      <c r="D27" s="65" t="str">
        <f t="shared" si="9"/>
        <v/>
      </c>
      <c r="E27" s="113">
        <v>23</v>
      </c>
      <c r="F27" s="114" t="str">
        <f>CHOOSE(WEEKDAY(Calendrier!C27,2),"L","Ma","Me","J","V","S","D")</f>
        <v>Ma</v>
      </c>
      <c r="G27" s="118"/>
      <c r="H27" s="33">
        <v>23</v>
      </c>
      <c r="I27" s="87" t="str">
        <f>CHOOSE(WEEKDAY(Calendrier!D27,2),"L","Ma","Me","J","V","S","D")</f>
        <v>V</v>
      </c>
      <c r="J27" s="65">
        <f t="shared" si="11"/>
        <v>0.16666666666666669</v>
      </c>
      <c r="K27" s="33">
        <v>23</v>
      </c>
      <c r="L27" s="87" t="str">
        <f>CHOOSE(WEEKDAY(Calendrier!E27,2),"L","Ma","Me","J","V","S","D")</f>
        <v>D</v>
      </c>
      <c r="M27" s="115"/>
      <c r="N27" s="33">
        <v>23</v>
      </c>
      <c r="O27" s="87" t="str">
        <f>CHOOSE(WEEKDAY(Calendrier!F27,2),"L","Ma","Me","J","V","S","D")</f>
        <v>Me</v>
      </c>
      <c r="P27" s="65">
        <f t="shared" si="12"/>
        <v>0</v>
      </c>
      <c r="Q27" s="33">
        <v>23</v>
      </c>
      <c r="R27" s="87" t="str">
        <f>CHOOSE(WEEKDAY(Calendrier!G27,2),"L","Ma","Me","J","V","S","D")</f>
        <v>S</v>
      </c>
      <c r="S27" s="115"/>
      <c r="T27" s="33">
        <v>23</v>
      </c>
      <c r="U27" s="87" t="str">
        <f>CHOOSE(WEEKDAY(Calendrier!H27,2),"L","Ma","Me","J","V","S","D")</f>
        <v>S</v>
      </c>
      <c r="V27" s="65" t="str">
        <f t="shared" si="3"/>
        <v/>
      </c>
      <c r="W27" s="111">
        <v>23</v>
      </c>
      <c r="X27" s="112" t="str">
        <f>CHOOSE(WEEKDAY(Calendrier!I27,2),"L","Ma","Me","J","V","S","D")</f>
        <v>Ma</v>
      </c>
      <c r="Y27" s="120">
        <f t="shared" si="4"/>
        <v>0.38194444444444453</v>
      </c>
      <c r="Z27" s="33">
        <v>23</v>
      </c>
      <c r="AA27" s="87" t="str">
        <f>CHOOSE(WEEKDAY(Calendrier!J27,2),"L","Ma","Me","J","V","S","D")</f>
        <v>J</v>
      </c>
      <c r="AB27" s="65">
        <f t="shared" si="10"/>
        <v>0.20833333333333337</v>
      </c>
      <c r="AC27" s="33">
        <v>23</v>
      </c>
      <c r="AD27" s="87" t="str">
        <f>CHOOSE(WEEKDAY(Calendrier!K27,2),"L","Ma","Me","J","V","S","D")</f>
        <v>D</v>
      </c>
      <c r="AE27" s="65" t="str">
        <f t="shared" si="5"/>
        <v/>
      </c>
      <c r="AF27" s="113">
        <v>23</v>
      </c>
      <c r="AG27" s="114" t="str">
        <f>CHOOSE(WEEKDAY(Calendrier!L27,2),"L","Ma","Me","J","V","S","D")</f>
        <v>Ma</v>
      </c>
      <c r="AH27" s="118"/>
      <c r="AI27" s="113">
        <v>23</v>
      </c>
      <c r="AJ27" s="114" t="str">
        <f>CHOOSE(WEEKDAY(Calendrier!M27,2),"L","Ma","Me","J","V","S","D")</f>
        <v>V</v>
      </c>
      <c r="AK27" s="115"/>
      <c r="AL27" s="13"/>
      <c r="AM27" s="98"/>
      <c r="AN27" s="98">
        <f t="shared" si="16"/>
        <v>0</v>
      </c>
      <c r="AO27" s="98"/>
      <c r="AP27" s="98">
        <f>IF(M27&lt;&gt;"",1,)</f>
        <v>0</v>
      </c>
      <c r="AQ27" s="98"/>
      <c r="AR27" s="98"/>
      <c r="AS27" s="98"/>
      <c r="AT27" s="98">
        <f t="shared" si="17"/>
        <v>1</v>
      </c>
      <c r="AU27" s="98"/>
      <c r="AV27" s="98"/>
      <c r="AW27" s="98">
        <f t="shared" si="14"/>
        <v>0</v>
      </c>
      <c r="AX27" s="98">
        <f t="shared" si="15"/>
        <v>0</v>
      </c>
      <c r="AY27" s="98"/>
      <c r="AZ27" s="102"/>
      <c r="BA27" s="102"/>
    </row>
    <row r="28" spans="2:53" s="1" customFormat="1" ht="12" customHeight="1">
      <c r="B28" s="33">
        <v>24</v>
      </c>
      <c r="C28" s="87" t="str">
        <f>CHOOSE(WEEKDAY(Calendrier!B28,2),"L","Ma","Me","J","V","S","D")</f>
        <v>L</v>
      </c>
      <c r="D28" s="100">
        <f t="shared" si="9"/>
        <v>0</v>
      </c>
      <c r="E28" s="113">
        <v>24</v>
      </c>
      <c r="F28" s="114" t="str">
        <f>CHOOSE(WEEKDAY(Calendrier!C28,2),"L","Ma","Me","J","V","S","D")</f>
        <v>Me</v>
      </c>
      <c r="G28" s="115"/>
      <c r="H28" s="33">
        <v>24</v>
      </c>
      <c r="I28" s="87" t="str">
        <f>CHOOSE(WEEKDAY(Calendrier!D28,2),"L","Ma","Me","J","V","S","D")</f>
        <v>S</v>
      </c>
      <c r="J28" s="65" t="str">
        <f t="shared" si="11"/>
        <v/>
      </c>
      <c r="K28" s="33">
        <v>24</v>
      </c>
      <c r="L28" s="87" t="str">
        <f>CHOOSE(WEEKDAY(Calendrier!E28,2),"L","Ma","Me","J","V","S","D")</f>
        <v>L</v>
      </c>
      <c r="M28" s="118"/>
      <c r="N28" s="33">
        <v>24</v>
      </c>
      <c r="O28" s="87" t="str">
        <f>CHOOSE(WEEKDAY(Calendrier!F28,2),"L","Ma","Me","J","V","S","D")</f>
        <v>J</v>
      </c>
      <c r="P28" s="65">
        <f t="shared" si="12"/>
        <v>0.20833333333333337</v>
      </c>
      <c r="Q28" s="33">
        <v>24</v>
      </c>
      <c r="R28" s="87" t="str">
        <f>CHOOSE(WEEKDAY(Calendrier!G28,2),"L","Ma","Me","J","V","S","D")</f>
        <v>D</v>
      </c>
      <c r="S28" s="115"/>
      <c r="T28" s="33">
        <v>24</v>
      </c>
      <c r="U28" s="87" t="str">
        <f>CHOOSE(WEEKDAY(Calendrier!H28,2),"L","Ma","Me","J","V","S","D")</f>
        <v>D</v>
      </c>
      <c r="V28" s="65" t="str">
        <f t="shared" si="3"/>
        <v/>
      </c>
      <c r="W28" s="111">
        <v>24</v>
      </c>
      <c r="X28" s="112" t="str">
        <f>CHOOSE(WEEKDAY(Calendrier!I28,2),"L","Ma","Me","J","V","S","D")</f>
        <v>Me</v>
      </c>
      <c r="Y28" s="116">
        <f t="shared" si="4"/>
        <v>0</v>
      </c>
      <c r="Z28" s="33">
        <v>24</v>
      </c>
      <c r="AA28" s="87" t="str">
        <f>CHOOSE(WEEKDAY(Calendrier!J28,2),"L","Ma","Me","J","V","S","D")</f>
        <v>V</v>
      </c>
      <c r="AB28" s="65">
        <f t="shared" si="10"/>
        <v>0.16666666666666669</v>
      </c>
      <c r="AC28" s="33">
        <v>24</v>
      </c>
      <c r="AD28" s="87" t="str">
        <f>CHOOSE(WEEKDAY(Calendrier!K28,2),"L","Ma","Me","J","V","S","D")</f>
        <v>L</v>
      </c>
      <c r="AE28" s="100">
        <f t="shared" si="5"/>
        <v>0</v>
      </c>
      <c r="AF28" s="113">
        <v>24</v>
      </c>
      <c r="AG28" s="114" t="str">
        <f>CHOOSE(WEEKDAY(Calendrier!L28,2),"L","Ma","Me","J","V","S","D")</f>
        <v>Me</v>
      </c>
      <c r="AH28" s="115"/>
      <c r="AI28" s="33">
        <v>24</v>
      </c>
      <c r="AJ28" s="87" t="str">
        <f>CHOOSE(WEEKDAY(Calendrier!M28,2),"L","Ma","Me","J","V","S","D")</f>
        <v>S</v>
      </c>
      <c r="AK28" s="115"/>
      <c r="AL28" s="13"/>
      <c r="AM28" s="98"/>
      <c r="AN28" s="98">
        <f t="shared" si="16"/>
        <v>0</v>
      </c>
      <c r="AO28" s="98"/>
      <c r="AP28" s="98">
        <f>IF(M28&lt;&gt;"",1,)</f>
        <v>0</v>
      </c>
      <c r="AQ28" s="98"/>
      <c r="AR28" s="98">
        <f>IF(S28&lt;&gt;"",1,)</f>
        <v>0</v>
      </c>
      <c r="AS28" s="98"/>
      <c r="AT28" s="98">
        <f t="shared" si="17"/>
        <v>1</v>
      </c>
      <c r="AU28" s="98"/>
      <c r="AV28" s="98"/>
      <c r="AW28" s="98">
        <f t="shared" si="14"/>
        <v>0</v>
      </c>
      <c r="AX28" s="98">
        <f t="shared" si="15"/>
        <v>0</v>
      </c>
      <c r="AY28" s="98"/>
      <c r="AZ28" s="102"/>
      <c r="BA28" s="102"/>
    </row>
    <row r="29" spans="2:53" s="1" customFormat="1" ht="12" customHeight="1">
      <c r="B29" s="33">
        <v>25</v>
      </c>
      <c r="C29" s="87" t="str">
        <f>CHOOSE(WEEKDAY(Calendrier!B29,2),"L","Ma","Me","J","V","S","D")</f>
        <v>Ma</v>
      </c>
      <c r="D29" s="100">
        <f t="shared" si="9"/>
        <v>0.38194444444444453</v>
      </c>
      <c r="E29" s="113">
        <v>25</v>
      </c>
      <c r="F29" s="114" t="str">
        <f>CHOOSE(WEEKDAY(Calendrier!C29,2),"L","Ma","Me","J","V","S","D")</f>
        <v>J</v>
      </c>
      <c r="G29" s="115"/>
      <c r="H29" s="33">
        <v>25</v>
      </c>
      <c r="I29" s="87" t="str">
        <f>CHOOSE(WEEKDAY(Calendrier!D29,2),"L","Ma","Me","J","V","S","D")</f>
        <v>D</v>
      </c>
      <c r="J29" s="65" t="str">
        <f t="shared" si="11"/>
        <v/>
      </c>
      <c r="K29" s="59">
        <v>25</v>
      </c>
      <c r="L29" s="88" t="str">
        <f>CHOOSE(WEEKDAY(Calendrier!E29,2),"L","Ma","Me","J","V","S","D")</f>
        <v>Ma</v>
      </c>
      <c r="M29" s="122"/>
      <c r="N29" s="33">
        <v>25</v>
      </c>
      <c r="O29" s="87" t="str">
        <f>CHOOSE(WEEKDAY(Calendrier!F29,2),"L","Ma","Me","J","V","S","D")</f>
        <v>V</v>
      </c>
      <c r="P29" s="65">
        <f t="shared" si="12"/>
        <v>0.16666666666666669</v>
      </c>
      <c r="Q29" s="33">
        <v>25</v>
      </c>
      <c r="R29" s="87" t="str">
        <f>CHOOSE(WEEKDAY(Calendrier!G29,2),"L","Ma","Me","J","V","S","D")</f>
        <v>L</v>
      </c>
      <c r="S29" s="100">
        <f t="shared" si="2"/>
        <v>0</v>
      </c>
      <c r="T29" s="33">
        <v>25</v>
      </c>
      <c r="U29" s="87" t="str">
        <f>CHOOSE(WEEKDAY(Calendrier!H29,2),"L","Ma","Me","J","V","S","D")</f>
        <v>L</v>
      </c>
      <c r="V29" s="100">
        <f t="shared" si="3"/>
        <v>0</v>
      </c>
      <c r="W29" s="33">
        <v>25</v>
      </c>
      <c r="X29" s="87" t="str">
        <f>CHOOSE(WEEKDAY(Calendrier!I29,2),"L","Ma","Me","J","V","S","D")</f>
        <v>J</v>
      </c>
      <c r="Y29" s="65">
        <f t="shared" si="4"/>
        <v>0.20833333333333337</v>
      </c>
      <c r="Z29" s="33">
        <v>25</v>
      </c>
      <c r="AA29" s="87" t="str">
        <f>CHOOSE(WEEKDAY(Calendrier!J29,2),"L","Ma","Me","J","V","S","D")</f>
        <v>S</v>
      </c>
      <c r="AB29" s="117"/>
      <c r="AC29" s="33">
        <v>25</v>
      </c>
      <c r="AD29" s="87" t="str">
        <f>CHOOSE(WEEKDAY(Calendrier!K29,2),"L","Ma","Me","J","V","S","D")</f>
        <v>Ma</v>
      </c>
      <c r="AE29" s="100">
        <f t="shared" si="5"/>
        <v>0.38194444444444453</v>
      </c>
      <c r="AF29" s="113">
        <v>25</v>
      </c>
      <c r="AG29" s="114" t="str">
        <f>CHOOSE(WEEKDAY(Calendrier!L29,2),"L","Ma","Me","J","V","S","D")</f>
        <v>J</v>
      </c>
      <c r="AH29" s="115"/>
      <c r="AI29" s="33">
        <v>25</v>
      </c>
      <c r="AJ29" s="87" t="str">
        <f>CHOOSE(WEEKDAY(Calendrier!M29,2),"L","Ma","Me","J","V","S","D")</f>
        <v>D</v>
      </c>
      <c r="AK29" s="115"/>
      <c r="AL29" s="13"/>
      <c r="AM29" s="98"/>
      <c r="AN29" s="98">
        <f t="shared" si="16"/>
        <v>0</v>
      </c>
      <c r="AO29" s="98"/>
      <c r="AP29" s="98"/>
      <c r="AQ29" s="98"/>
      <c r="AR29" s="98">
        <f>IF(S29&lt;&gt;"",1,)</f>
        <v>1</v>
      </c>
      <c r="AS29" s="98"/>
      <c r="AT29" s="98">
        <f t="shared" si="17"/>
        <v>1</v>
      </c>
      <c r="AU29" s="98"/>
      <c r="AV29" s="98"/>
      <c r="AW29" s="98">
        <f t="shared" si="14"/>
        <v>0</v>
      </c>
      <c r="AX29" s="98">
        <f t="shared" si="15"/>
        <v>0</v>
      </c>
      <c r="AY29" s="98"/>
      <c r="AZ29" s="102"/>
      <c r="BA29" s="102"/>
    </row>
    <row r="30" spans="2:53" s="1" customFormat="1" ht="12" customHeight="1">
      <c r="B30" s="33">
        <v>26</v>
      </c>
      <c r="C30" s="87" t="str">
        <f>CHOOSE(WEEKDAY(Calendrier!B30,2),"L","Ma","Me","J","V","S","D")</f>
        <v>Me</v>
      </c>
      <c r="D30" s="65">
        <f t="shared" si="9"/>
        <v>0</v>
      </c>
      <c r="E30" s="113">
        <v>26</v>
      </c>
      <c r="F30" s="114" t="str">
        <f>CHOOSE(WEEKDAY(Calendrier!C30,2),"L","Ma","Me","J","V","S","D")</f>
        <v>V</v>
      </c>
      <c r="G30" s="115"/>
      <c r="H30" s="33">
        <v>26</v>
      </c>
      <c r="I30" s="87" t="str">
        <f>CHOOSE(WEEKDAY(Calendrier!D30,2),"L","Ma","Me","J","V","S","D")</f>
        <v>L</v>
      </c>
      <c r="J30" s="100">
        <f t="shared" si="11"/>
        <v>0</v>
      </c>
      <c r="K30" s="33">
        <v>26</v>
      </c>
      <c r="L30" s="87" t="str">
        <f>CHOOSE(WEEKDAY(Calendrier!E30,2),"L","Ma","Me","J","V","S","D")</f>
        <v>Me</v>
      </c>
      <c r="M30" s="115"/>
      <c r="N30" s="33">
        <v>26</v>
      </c>
      <c r="O30" s="87" t="str">
        <f>CHOOSE(WEEKDAY(Calendrier!F30,2),"L","Ma","Me","J","V","S","D")</f>
        <v>S</v>
      </c>
      <c r="P30" s="65" t="str">
        <f t="shared" si="12"/>
        <v/>
      </c>
      <c r="Q30" s="33">
        <v>26</v>
      </c>
      <c r="R30" s="87" t="str">
        <f>CHOOSE(WEEKDAY(Calendrier!G30,2),"L","Ma","Me","J","V","S","D")</f>
        <v>Ma</v>
      </c>
      <c r="S30" s="100">
        <f t="shared" si="2"/>
        <v>0.38194444444444453</v>
      </c>
      <c r="T30" s="33">
        <v>26</v>
      </c>
      <c r="U30" s="87" t="str">
        <f>CHOOSE(WEEKDAY(Calendrier!H30,2),"L","Ma","Me","J","V","S","D")</f>
        <v>Ma</v>
      </c>
      <c r="V30" s="100">
        <f t="shared" si="3"/>
        <v>0.38194444444444453</v>
      </c>
      <c r="W30" s="33">
        <v>26</v>
      </c>
      <c r="X30" s="87" t="str">
        <f>CHOOSE(WEEKDAY(Calendrier!I30,2),"L","Ma","Me","J","V","S","D")</f>
        <v>V</v>
      </c>
      <c r="Y30" s="65">
        <f t="shared" si="4"/>
        <v>0.16666666666666669</v>
      </c>
      <c r="Z30" s="33">
        <v>26</v>
      </c>
      <c r="AA30" s="87" t="str">
        <f>CHOOSE(WEEKDAY(Calendrier!J30,2),"L","Ma","Me","J","V","S","D")</f>
        <v>D</v>
      </c>
      <c r="AB30" s="65" t="str">
        <f t="shared" si="10"/>
        <v/>
      </c>
      <c r="AC30" s="33">
        <v>26</v>
      </c>
      <c r="AD30" s="87" t="str">
        <f>CHOOSE(WEEKDAY(Calendrier!K30,2),"L","Ma","Me","J","V","S","D")</f>
        <v>Me</v>
      </c>
      <c r="AE30" s="65">
        <f t="shared" si="5"/>
        <v>0</v>
      </c>
      <c r="AF30" s="113">
        <v>26</v>
      </c>
      <c r="AG30" s="114" t="str">
        <f>CHOOSE(WEEKDAY(Calendrier!L30,2),"L","Ma","Me","J","V","S","D")</f>
        <v>V</v>
      </c>
      <c r="AH30" s="115"/>
      <c r="AI30" s="113">
        <v>26</v>
      </c>
      <c r="AJ30" s="114" t="str">
        <f>CHOOSE(WEEKDAY(Calendrier!M30,2),"L","Ma","Me","J","V","S","D")</f>
        <v>L</v>
      </c>
      <c r="AK30" s="118"/>
      <c r="AL30" s="13"/>
      <c r="AM30" s="98"/>
      <c r="AN30" s="98">
        <f t="shared" si="16"/>
        <v>0</v>
      </c>
      <c r="AO30" s="98"/>
      <c r="AP30" s="98">
        <f t="shared" ref="AP30:AP35" si="18">IF(M30&lt;&gt;"",1,)</f>
        <v>0</v>
      </c>
      <c r="AQ30" s="98"/>
      <c r="AR30" s="98">
        <f>IF(S30&lt;&gt;"",1,)</f>
        <v>1</v>
      </c>
      <c r="AS30" s="98"/>
      <c r="AT30" s="98">
        <f t="shared" si="17"/>
        <v>1</v>
      </c>
      <c r="AU30" s="98"/>
      <c r="AV30" s="98"/>
      <c r="AW30" s="98">
        <f t="shared" si="14"/>
        <v>0</v>
      </c>
      <c r="AX30" s="98">
        <f t="shared" si="15"/>
        <v>0</v>
      </c>
      <c r="AY30" s="98"/>
      <c r="AZ30" s="102"/>
      <c r="BA30" s="102"/>
    </row>
    <row r="31" spans="2:53" s="1" customFormat="1" ht="12" customHeight="1">
      <c r="B31" s="33">
        <v>27</v>
      </c>
      <c r="C31" s="87" t="str">
        <f>CHOOSE(WEEKDAY(Calendrier!B31,2),"L","Ma","Me","J","V","S","D")</f>
        <v>J</v>
      </c>
      <c r="D31" s="65">
        <f t="shared" si="9"/>
        <v>0.20833333333333337</v>
      </c>
      <c r="E31" s="33">
        <v>27</v>
      </c>
      <c r="F31" s="87" t="str">
        <f>CHOOSE(WEEKDAY(Calendrier!C31,2),"L","Ma","Me","J","V","S","D")</f>
        <v>S</v>
      </c>
      <c r="G31" s="115"/>
      <c r="H31" s="33">
        <v>27</v>
      </c>
      <c r="I31" s="87" t="str">
        <f>CHOOSE(WEEKDAY(Calendrier!D31,2),"L","Ma","Me","J","V","S","D")</f>
        <v>Ma</v>
      </c>
      <c r="J31" s="100">
        <f t="shared" si="11"/>
        <v>0.38194444444444453</v>
      </c>
      <c r="K31" s="33">
        <v>27</v>
      </c>
      <c r="L31" s="87" t="str">
        <f>CHOOSE(WEEKDAY(Calendrier!E31,2),"L","Ma","Me","J","V","S","D")</f>
        <v>J</v>
      </c>
      <c r="M31" s="115"/>
      <c r="N31" s="33">
        <v>27</v>
      </c>
      <c r="O31" s="87" t="str">
        <f>CHOOSE(WEEKDAY(Calendrier!F31,2),"L","Ma","Me","J","V","S","D")</f>
        <v>D</v>
      </c>
      <c r="P31" s="65" t="str">
        <f t="shared" si="12"/>
        <v/>
      </c>
      <c r="Q31" s="33">
        <v>27</v>
      </c>
      <c r="R31" s="87" t="str">
        <f>CHOOSE(WEEKDAY(Calendrier!G31,2),"L","Ma","Me","J","V","S","D")</f>
        <v>Me</v>
      </c>
      <c r="S31" s="65">
        <f t="shared" si="2"/>
        <v>0</v>
      </c>
      <c r="T31" s="33">
        <v>27</v>
      </c>
      <c r="U31" s="87" t="str">
        <f>CHOOSE(WEEKDAY(Calendrier!H31,2),"L","Ma","Me","J","V","S","D")</f>
        <v>Me</v>
      </c>
      <c r="V31" s="65">
        <f t="shared" si="3"/>
        <v>0</v>
      </c>
      <c r="W31" s="33">
        <v>27</v>
      </c>
      <c r="X31" s="87" t="str">
        <f>CHOOSE(WEEKDAY(Calendrier!I31,2),"L","Ma","Me","J","V","S","D")</f>
        <v>S</v>
      </c>
      <c r="Y31" s="65" t="str">
        <f t="shared" si="4"/>
        <v/>
      </c>
      <c r="Z31" s="33">
        <v>27</v>
      </c>
      <c r="AA31" s="87" t="str">
        <f>CHOOSE(WEEKDAY(Calendrier!J31,2),"L","Ma","Me","J","V","S","D")</f>
        <v>L</v>
      </c>
      <c r="AB31" s="100">
        <f t="shared" si="10"/>
        <v>0</v>
      </c>
      <c r="AC31" s="33">
        <v>27</v>
      </c>
      <c r="AD31" s="87" t="str">
        <f>CHOOSE(WEEKDAY(Calendrier!K31,2),"L","Ma","Me","J","V","S","D")</f>
        <v>J</v>
      </c>
      <c r="AE31" s="65">
        <f t="shared" si="5"/>
        <v>0.20833333333333337</v>
      </c>
      <c r="AF31" s="33">
        <v>27</v>
      </c>
      <c r="AG31" s="87" t="str">
        <f>CHOOSE(WEEKDAY(Calendrier!L31,2),"L","Ma","Me","J","V","S","D")</f>
        <v>S</v>
      </c>
      <c r="AH31" s="115"/>
      <c r="AI31" s="113">
        <v>27</v>
      </c>
      <c r="AJ31" s="114" t="str">
        <f>CHOOSE(WEEKDAY(Calendrier!M31,2),"L","Ma","Me","J","V","S","D")</f>
        <v>Ma</v>
      </c>
      <c r="AK31" s="118"/>
      <c r="AL31" s="13"/>
      <c r="AM31" s="98"/>
      <c r="AN31" s="98">
        <f t="shared" si="16"/>
        <v>0</v>
      </c>
      <c r="AO31" s="98"/>
      <c r="AP31" s="98">
        <f t="shared" si="18"/>
        <v>0</v>
      </c>
      <c r="AQ31" s="98"/>
      <c r="AR31" s="98">
        <f>IF(S31&lt;&gt;"",1,)</f>
        <v>1</v>
      </c>
      <c r="AS31" s="98"/>
      <c r="AT31" s="98">
        <f t="shared" si="17"/>
        <v>0</v>
      </c>
      <c r="AU31" s="98"/>
      <c r="AV31" s="98"/>
      <c r="AW31" s="98">
        <f t="shared" si="14"/>
        <v>0</v>
      </c>
      <c r="AX31" s="98">
        <f t="shared" si="15"/>
        <v>0</v>
      </c>
      <c r="AY31" s="98"/>
      <c r="AZ31" s="102"/>
      <c r="BA31" s="102"/>
    </row>
    <row r="32" spans="2:53" s="1" customFormat="1" ht="12" customHeight="1">
      <c r="B32" s="33">
        <v>28</v>
      </c>
      <c r="C32" s="87" t="str">
        <f>CHOOSE(WEEKDAY(Calendrier!B32,2),"L","Ma","Me","J","V","S","D")</f>
        <v>V</v>
      </c>
      <c r="D32" s="65">
        <f t="shared" si="9"/>
        <v>0.16666666666666669</v>
      </c>
      <c r="E32" s="33">
        <v>28</v>
      </c>
      <c r="F32" s="87" t="str">
        <f>CHOOSE(WEEKDAY(Calendrier!C32,2),"L","Ma","Me","J","V","S","D")</f>
        <v>D</v>
      </c>
      <c r="G32" s="115"/>
      <c r="H32" s="33">
        <v>28</v>
      </c>
      <c r="I32" s="87" t="str">
        <f>CHOOSE(WEEKDAY(Calendrier!D32,2),"L","Ma","Me","J","V","S","D")</f>
        <v>Me</v>
      </c>
      <c r="J32" s="65">
        <f t="shared" si="11"/>
        <v>0</v>
      </c>
      <c r="K32" s="33">
        <v>28</v>
      </c>
      <c r="L32" s="87" t="str">
        <f>CHOOSE(WEEKDAY(Calendrier!E32,2),"L","Ma","Me","J","V","S","D")</f>
        <v>V</v>
      </c>
      <c r="M32" s="115"/>
      <c r="N32" s="33">
        <v>28</v>
      </c>
      <c r="O32" s="87" t="str">
        <f>CHOOSE(WEEKDAY(Calendrier!F32,2),"L","Ma","Me","J","V","S","D")</f>
        <v>L</v>
      </c>
      <c r="P32" s="100">
        <f t="shared" si="12"/>
        <v>0</v>
      </c>
      <c r="Q32" s="33">
        <v>28</v>
      </c>
      <c r="R32" s="87" t="str">
        <f>CHOOSE(WEEKDAY(Calendrier!G32,2),"L","Ma","Me","J","V","S","D")</f>
        <v>J</v>
      </c>
      <c r="S32" s="65">
        <f t="shared" si="2"/>
        <v>0.20833333333333337</v>
      </c>
      <c r="T32" s="33">
        <v>28</v>
      </c>
      <c r="U32" s="87" t="str">
        <f>CHOOSE(WEEKDAY(Calendrier!H32,2),"L","Ma","Me","J","V","S","D")</f>
        <v>J</v>
      </c>
      <c r="V32" s="65">
        <f>IF(U32="L",$D$46,IF(U32="Ma",$G$46,IF(U32="Me",$J$46,IF(U32="J",$M$46,IF(U32="V",$P$46,"")))))</f>
        <v>0.20833333333333337</v>
      </c>
      <c r="W32" s="33">
        <v>28</v>
      </c>
      <c r="X32" s="87" t="str">
        <f>CHOOSE(WEEKDAY(Calendrier!I32,2),"L","Ma","Me","J","V","S","D")</f>
        <v>D</v>
      </c>
      <c r="Y32" s="65" t="str">
        <f t="shared" si="4"/>
        <v/>
      </c>
      <c r="Z32" s="33">
        <v>28</v>
      </c>
      <c r="AA32" s="87" t="str">
        <f>CHOOSE(WEEKDAY(Calendrier!J32,2),"L","Ma","Me","J","V","S","D")</f>
        <v>Ma</v>
      </c>
      <c r="AB32" s="100">
        <f t="shared" si="10"/>
        <v>0.38194444444444453</v>
      </c>
      <c r="AC32" s="33">
        <v>28</v>
      </c>
      <c r="AD32" s="87" t="str">
        <f>CHOOSE(WEEKDAY(Calendrier!K32,2),"L","Ma","Me","J","V","S","D")</f>
        <v>V</v>
      </c>
      <c r="AE32" s="65">
        <v>0.375</v>
      </c>
      <c r="AF32" s="33">
        <v>28</v>
      </c>
      <c r="AG32" s="87" t="str">
        <f>CHOOSE(WEEKDAY(Calendrier!L32,2),"L","Ma","Me","J","V","S","D")</f>
        <v>D</v>
      </c>
      <c r="AH32" s="115"/>
      <c r="AI32" s="113">
        <v>28</v>
      </c>
      <c r="AJ32" s="114" t="str">
        <f>CHOOSE(WEEKDAY(Calendrier!M32,2),"L","Ma","Me","J","V","S","D")</f>
        <v>Me</v>
      </c>
      <c r="AK32" s="115"/>
      <c r="AL32" s="13"/>
      <c r="AM32" s="98"/>
      <c r="AN32" s="98">
        <f t="shared" si="16"/>
        <v>0</v>
      </c>
      <c r="AO32" s="98"/>
      <c r="AP32" s="98">
        <f t="shared" si="18"/>
        <v>0</v>
      </c>
      <c r="AQ32" s="98"/>
      <c r="AR32" s="98">
        <f>IF(S32&lt;&gt;"",1,)</f>
        <v>1</v>
      </c>
      <c r="AS32" s="98"/>
      <c r="AT32" s="98">
        <f t="shared" si="17"/>
        <v>0</v>
      </c>
      <c r="AU32" s="98"/>
      <c r="AV32" s="98"/>
      <c r="AW32" s="98">
        <f t="shared" si="14"/>
        <v>0</v>
      </c>
      <c r="AX32" s="98">
        <f t="shared" si="15"/>
        <v>0</v>
      </c>
      <c r="AY32" s="98"/>
      <c r="AZ32" s="102"/>
      <c r="BA32" s="102"/>
    </row>
    <row r="33" spans="2:53" s="1" customFormat="1" ht="12" customHeight="1">
      <c r="B33" s="33">
        <v>29</v>
      </c>
      <c r="C33" s="87" t="str">
        <f>CHOOSE(WEEKDAY(Calendrier!B33,2),"L","Ma","Me","J","V","S","D")</f>
        <v>S</v>
      </c>
      <c r="D33" s="65" t="str">
        <f t="shared" si="9"/>
        <v/>
      </c>
      <c r="E33" s="113">
        <v>29</v>
      </c>
      <c r="F33" s="114" t="str">
        <f>CHOOSE(WEEKDAY(Calendrier!C33,2),"L","Ma","Me","J","V","S","D")</f>
        <v>L</v>
      </c>
      <c r="G33" s="118"/>
      <c r="H33" s="33">
        <v>29</v>
      </c>
      <c r="I33" s="87" t="str">
        <f>CHOOSE(WEEKDAY(Calendrier!D33,2),"L","Ma","Me","J","V","S","D")</f>
        <v>J</v>
      </c>
      <c r="J33" s="65">
        <f t="shared" si="11"/>
        <v>0.20833333333333337</v>
      </c>
      <c r="K33" s="33">
        <v>29</v>
      </c>
      <c r="L33" s="87" t="str">
        <f>CHOOSE(WEEKDAY(Calendrier!E33,2),"L","Ma","Me","J","V","S","D")</f>
        <v>S</v>
      </c>
      <c r="M33" s="115"/>
      <c r="N33" s="33">
        <v>29</v>
      </c>
      <c r="O33" s="87" t="str">
        <f>CHOOSE(WEEKDAY(Calendrier!F33,2),"L","Ma","Me","J","V","S","D")</f>
        <v>Ma</v>
      </c>
      <c r="P33" s="100">
        <f t="shared" si="12"/>
        <v>0.38194444444444453</v>
      </c>
      <c r="Q33" s="33" t="str">
        <f>IF(Calendrier!G33="","",29)</f>
        <v/>
      </c>
      <c r="R33" s="87" t="str">
        <f>IF(Calendrier!G33="","",CHOOSE(WEEKDAY(Calendrier!G33,2),"L","Ma","Me","J","V","S","D"))</f>
        <v/>
      </c>
      <c r="S33" s="65" t="str">
        <f>IF(R33="L",$D$46,IF(R33="Ma",$G$46,IF(R33="Me",$J$46,IF(R33="J",$M$46,IF(R33="V",$P$46,"")))))</f>
        <v/>
      </c>
      <c r="T33" s="33">
        <v>29</v>
      </c>
      <c r="U33" s="87" t="str">
        <f>CHOOSE(WEEKDAY(Calendrier!H33,2),"L","Ma","Me","J","V","S","D")</f>
        <v>V</v>
      </c>
      <c r="V33" s="65">
        <f t="shared" si="3"/>
        <v>0.16666666666666669</v>
      </c>
      <c r="W33" s="33">
        <v>29</v>
      </c>
      <c r="X33" s="87" t="str">
        <f>CHOOSE(WEEKDAY(Calendrier!I33,2),"L","Ma","Me","J","V","S","D")</f>
        <v>L</v>
      </c>
      <c r="Y33" s="100">
        <f t="shared" si="4"/>
        <v>0</v>
      </c>
      <c r="Z33" s="111">
        <v>29</v>
      </c>
      <c r="AA33" s="112" t="str">
        <f>CHOOSE(WEEKDAY(Calendrier!J33,2),"L","Ma","Me","J","V","S","D")</f>
        <v>Me</v>
      </c>
      <c r="AB33" s="65">
        <f t="shared" si="10"/>
        <v>0</v>
      </c>
      <c r="AC33" s="33">
        <v>29</v>
      </c>
      <c r="AD33" s="87" t="str">
        <f>CHOOSE(WEEKDAY(Calendrier!K33,2),"L","Ma","Me","J","V","S","D")</f>
        <v>S</v>
      </c>
      <c r="AE33" s="65" t="str">
        <f t="shared" si="5"/>
        <v/>
      </c>
      <c r="AF33" s="113">
        <v>29</v>
      </c>
      <c r="AG33" s="114" t="str">
        <f>CHOOSE(WEEKDAY(Calendrier!L33,2),"L","Ma","Me","J","V","S","D")</f>
        <v>L</v>
      </c>
      <c r="AH33" s="118"/>
      <c r="AI33" s="113">
        <v>29</v>
      </c>
      <c r="AJ33" s="114" t="str">
        <f>CHOOSE(WEEKDAY(Calendrier!M33,2),"L","Ma","Me","J","V","S","D")</f>
        <v>J</v>
      </c>
      <c r="AK33" s="115"/>
      <c r="AL33" s="13"/>
      <c r="AM33" s="98"/>
      <c r="AN33" s="98">
        <f t="shared" si="16"/>
        <v>0</v>
      </c>
      <c r="AO33" s="98"/>
      <c r="AP33" s="98">
        <f t="shared" si="18"/>
        <v>0</v>
      </c>
      <c r="AQ33" s="98"/>
      <c r="AR33" s="98"/>
      <c r="AS33" s="98"/>
      <c r="AT33" s="98">
        <f t="shared" si="17"/>
        <v>1</v>
      </c>
      <c r="AU33" s="98"/>
      <c r="AV33" s="98"/>
      <c r="AW33" s="98">
        <f t="shared" si="14"/>
        <v>0</v>
      </c>
      <c r="AX33" s="98">
        <f t="shared" si="15"/>
        <v>0</v>
      </c>
      <c r="AY33" s="98"/>
      <c r="AZ33" s="102"/>
      <c r="BA33" s="102"/>
    </row>
    <row r="34" spans="2:53" s="1" customFormat="1" ht="12" customHeight="1">
      <c r="B34" s="33">
        <v>30</v>
      </c>
      <c r="C34" s="87" t="str">
        <f>CHOOSE(WEEKDAY(Calendrier!B34,2),"L","Ma","Me","J","V","S","D")</f>
        <v>D</v>
      </c>
      <c r="D34" s="65" t="str">
        <f t="shared" si="9"/>
        <v/>
      </c>
      <c r="E34" s="113">
        <v>30</v>
      </c>
      <c r="F34" s="114" t="str">
        <f>CHOOSE(WEEKDAY(Calendrier!C34,2),"L","Ma","Me","J","V","S","D")</f>
        <v>Ma</v>
      </c>
      <c r="G34" s="118"/>
      <c r="H34" s="33">
        <v>30</v>
      </c>
      <c r="I34" s="87" t="str">
        <f>CHOOSE(WEEKDAY(Calendrier!D34,2),"L","Ma","Me","J","V","S","D")</f>
        <v>V</v>
      </c>
      <c r="J34" s="65">
        <f t="shared" si="11"/>
        <v>0.16666666666666669</v>
      </c>
      <c r="K34" s="33">
        <v>30</v>
      </c>
      <c r="L34" s="87" t="str">
        <f>CHOOSE(WEEKDAY(Calendrier!E34,2),"L","Ma","Me","J","V","S","D")</f>
        <v>D</v>
      </c>
      <c r="M34" s="115"/>
      <c r="N34" s="33">
        <v>30</v>
      </c>
      <c r="O34" s="87" t="str">
        <f>CHOOSE(WEEKDAY(Calendrier!F34,2),"L","Ma","Me","J","V","S","D")</f>
        <v>Me</v>
      </c>
      <c r="P34" s="65">
        <f t="shared" si="12"/>
        <v>0</v>
      </c>
      <c r="Q34" s="36"/>
      <c r="R34" s="58"/>
      <c r="S34" s="121"/>
      <c r="T34" s="33">
        <v>30</v>
      </c>
      <c r="U34" s="87" t="str">
        <f>CHOOSE(WEEKDAY(Calendrier!H34,2),"L","Ma","Me","J","V","S","D")</f>
        <v>S</v>
      </c>
      <c r="V34" s="65" t="str">
        <f t="shared" si="3"/>
        <v/>
      </c>
      <c r="W34" s="113">
        <v>30</v>
      </c>
      <c r="X34" s="114" t="str">
        <f>CHOOSE(WEEKDAY(Calendrier!I34,2),"L","Ma","Me","J","V","S","D")</f>
        <v>Ma</v>
      </c>
      <c r="Y34" s="100">
        <f t="shared" si="4"/>
        <v>0.38194444444444453</v>
      </c>
      <c r="Z34" s="33">
        <v>30</v>
      </c>
      <c r="AA34" s="87" t="str">
        <f>CHOOSE(WEEKDAY(Calendrier!J34,2),"L","Ma","Me","J","V","S","D")</f>
        <v>J</v>
      </c>
      <c r="AB34" s="101"/>
      <c r="AC34" s="33">
        <v>30</v>
      </c>
      <c r="AD34" s="87" t="str">
        <f>CHOOSE(WEEKDAY(Calendrier!K34,2),"L","Ma","Me","J","V","S","D")</f>
        <v>D</v>
      </c>
      <c r="AE34" s="65" t="str">
        <f t="shared" si="5"/>
        <v/>
      </c>
      <c r="AF34" s="113">
        <v>30</v>
      </c>
      <c r="AG34" s="114" t="str">
        <f>CHOOSE(WEEKDAY(Calendrier!L34,2),"L","Ma","Me","J","V","S","D")</f>
        <v>Ma</v>
      </c>
      <c r="AH34" s="118"/>
      <c r="AI34" s="113">
        <v>30</v>
      </c>
      <c r="AJ34" s="114" t="str">
        <f>CHOOSE(WEEKDAY(Calendrier!M34,2),"L","Ma","Me","J","V","S","D")</f>
        <v>V</v>
      </c>
      <c r="AK34" s="115"/>
      <c r="AL34" s="13"/>
      <c r="AM34" s="98"/>
      <c r="AN34" s="98">
        <f t="shared" si="16"/>
        <v>0</v>
      </c>
      <c r="AO34" s="98"/>
      <c r="AP34" s="98">
        <f t="shared" si="18"/>
        <v>0</v>
      </c>
      <c r="AQ34" s="98"/>
      <c r="AR34" s="98"/>
      <c r="AS34" s="98"/>
      <c r="AT34" s="98">
        <f t="shared" si="17"/>
        <v>1</v>
      </c>
      <c r="AU34" s="98"/>
      <c r="AV34" s="98"/>
      <c r="AW34" s="98">
        <f t="shared" si="14"/>
        <v>0</v>
      </c>
      <c r="AX34" s="98">
        <f t="shared" si="15"/>
        <v>0</v>
      </c>
      <c r="AY34" s="98"/>
      <c r="AZ34" s="102"/>
      <c r="BA34" s="102"/>
    </row>
    <row r="35" spans="2:53" s="1" customFormat="1" ht="12" customHeight="1" thickBot="1">
      <c r="B35" s="34"/>
      <c r="C35" s="87"/>
      <c r="D35" s="119"/>
      <c r="E35" s="113">
        <v>31</v>
      </c>
      <c r="F35" s="114" t="str">
        <f>CHOOSE(WEEKDAY(Calendrier!C35,2),"L","Ma","Me","J","V","S","D")</f>
        <v>Me</v>
      </c>
      <c r="G35" s="115"/>
      <c r="H35" s="35"/>
      <c r="I35" s="57"/>
      <c r="J35" s="119" t="str">
        <f t="shared" si="11"/>
        <v/>
      </c>
      <c r="K35" s="33">
        <v>31</v>
      </c>
      <c r="L35" s="87" t="str">
        <f>CHOOSE(WEEKDAY(Calendrier!E35,2),"L","Ma","Me","J","V","S","D")</f>
        <v>L</v>
      </c>
      <c r="M35" s="118"/>
      <c r="N35" s="33">
        <v>31</v>
      </c>
      <c r="O35" s="87" t="str">
        <f>CHOOSE(WEEKDAY(Calendrier!F35,2),"L","Ma","Me","J","V","S","D")</f>
        <v>J</v>
      </c>
      <c r="P35" s="65">
        <f t="shared" si="12"/>
        <v>0.20833333333333337</v>
      </c>
      <c r="Q35" s="35"/>
      <c r="R35" s="57"/>
      <c r="S35" s="119"/>
      <c r="T35" s="33">
        <v>31</v>
      </c>
      <c r="U35" s="87" t="str">
        <f>CHOOSE(WEEKDAY(Calendrier!H35,2),"L","Ma","Me","J","V","S","D")</f>
        <v>D</v>
      </c>
      <c r="V35" s="65" t="str">
        <f t="shared" si="3"/>
        <v/>
      </c>
      <c r="W35" s="34"/>
      <c r="X35" s="57"/>
      <c r="Y35" s="119"/>
      <c r="Z35" s="33">
        <v>31</v>
      </c>
      <c r="AA35" s="87" t="str">
        <f>CHOOSE(WEEKDAY(Calendrier!J35,2),"L","Ma","Me","J","V","S","D")</f>
        <v>V</v>
      </c>
      <c r="AB35" s="65">
        <f t="shared" si="10"/>
        <v>0.16666666666666669</v>
      </c>
      <c r="AC35" s="34"/>
      <c r="AD35" s="57"/>
      <c r="AE35" s="119"/>
      <c r="AF35" s="113">
        <v>31</v>
      </c>
      <c r="AG35" s="114" t="str">
        <f>CHOOSE(WEEKDAY(Calendrier!L35,2),"L","Ma","Me","J","V","S","D")</f>
        <v>Me</v>
      </c>
      <c r="AH35" s="115"/>
      <c r="AI35" s="33">
        <v>31</v>
      </c>
      <c r="AJ35" s="87" t="str">
        <f>CHOOSE(WEEKDAY(Calendrier!M35,2),"L","Ma","Me","J","V","S","D")</f>
        <v>S</v>
      </c>
      <c r="AK35" s="115"/>
      <c r="AL35" s="13"/>
      <c r="AM35" s="98"/>
      <c r="AN35" s="98">
        <f t="shared" si="16"/>
        <v>0</v>
      </c>
      <c r="AO35" s="98"/>
      <c r="AP35" s="98">
        <f t="shared" si="18"/>
        <v>0</v>
      </c>
      <c r="AQ35" s="98"/>
      <c r="AR35" s="98"/>
      <c r="AS35" s="98"/>
      <c r="AT35" s="98"/>
      <c r="AU35" s="98"/>
      <c r="AV35" s="98"/>
      <c r="AW35" s="98">
        <f t="shared" si="14"/>
        <v>0</v>
      </c>
      <c r="AX35" s="98">
        <f t="shared" si="15"/>
        <v>0</v>
      </c>
      <c r="AY35" s="98"/>
      <c r="AZ35" s="102"/>
      <c r="BA35" s="102"/>
    </row>
    <row r="36" spans="2:53" s="5" customFormat="1" ht="11.25" customHeight="1" thickBot="1">
      <c r="B36" s="30"/>
      <c r="C36" s="31"/>
      <c r="D36" s="37">
        <f>SUM(D5:D35)</f>
        <v>3.1944444444444451</v>
      </c>
      <c r="E36" s="39"/>
      <c r="F36" s="31"/>
      <c r="G36" s="37">
        <f>SUM(G5:G35)</f>
        <v>2.5208333333333339</v>
      </c>
      <c r="H36" s="40"/>
      <c r="I36" s="28"/>
      <c r="J36" s="38">
        <f>SUM(J5:J35)</f>
        <v>3.0277777777777786</v>
      </c>
      <c r="K36" s="39"/>
      <c r="L36" s="31"/>
      <c r="M36" s="38">
        <f>SUM(M5:M35)</f>
        <v>2.2708333333333339</v>
      </c>
      <c r="N36" s="39"/>
      <c r="O36" s="32"/>
      <c r="P36" s="38">
        <f>SUM(P5:P35)</f>
        <v>2.861111111111112</v>
      </c>
      <c r="Q36" s="41"/>
      <c r="R36" s="29"/>
      <c r="S36" s="38">
        <f>SUM(S5:S35)</f>
        <v>1.5138888888888893</v>
      </c>
      <c r="T36" s="39"/>
      <c r="U36" s="32"/>
      <c r="V36" s="38">
        <f>SUM(V5:V35)</f>
        <v>3.1944444444444451</v>
      </c>
      <c r="W36" s="39"/>
      <c r="X36" s="32"/>
      <c r="Y36" s="38">
        <f>SUM(Y5:Y34)</f>
        <v>1.8958333333333339</v>
      </c>
      <c r="Z36" s="39"/>
      <c r="AA36" s="32"/>
      <c r="AB36" s="38">
        <f>SUM(AB5:AB35)</f>
        <v>3.1944444444444451</v>
      </c>
      <c r="AC36" s="39"/>
      <c r="AD36" s="32"/>
      <c r="AE36" s="38">
        <f>SUM(AE7:AE34)</f>
        <v>3.236111111111112</v>
      </c>
      <c r="AF36" s="39"/>
      <c r="AG36" s="31"/>
      <c r="AH36" s="38">
        <f>SUM(AH5:AH34)</f>
        <v>0.9652777777777779</v>
      </c>
      <c r="AI36" s="39"/>
      <c r="AJ36" s="31"/>
      <c r="AK36" s="38">
        <f>SUM(AK5:AK34)</f>
        <v>0</v>
      </c>
      <c r="AL36" s="14"/>
      <c r="AM36" s="69">
        <f>SUM(AM5:AM35)</f>
        <v>0</v>
      </c>
      <c r="AN36" s="69">
        <f t="shared" ref="AN36:AW36" si="19">SUM(AN5:AN35)</f>
        <v>1</v>
      </c>
      <c r="AO36" s="69">
        <f t="shared" si="19"/>
        <v>0</v>
      </c>
      <c r="AP36" s="69">
        <f t="shared" si="19"/>
        <v>0</v>
      </c>
      <c r="AQ36" s="69">
        <f t="shared" si="19"/>
        <v>0</v>
      </c>
      <c r="AR36" s="69">
        <f t="shared" si="19"/>
        <v>4</v>
      </c>
      <c r="AS36" s="69">
        <f t="shared" si="19"/>
        <v>5</v>
      </c>
      <c r="AT36" s="69">
        <f t="shared" si="19"/>
        <v>6</v>
      </c>
      <c r="AU36" s="69">
        <f t="shared" si="19"/>
        <v>1</v>
      </c>
      <c r="AV36" s="69">
        <f t="shared" si="19"/>
        <v>0</v>
      </c>
      <c r="AW36" s="69">
        <f t="shared" si="19"/>
        <v>0</v>
      </c>
      <c r="AX36" s="69">
        <f>SUM(AX5:AX35)</f>
        <v>0</v>
      </c>
      <c r="AY36" s="69">
        <f>SUM(AM36:AX36)</f>
        <v>17</v>
      </c>
      <c r="AZ36" s="103"/>
      <c r="BA36" s="103"/>
    </row>
    <row r="37" spans="2:53" s="8" customFormat="1" ht="15.75" customHeight="1">
      <c r="B37" s="6"/>
      <c r="C37" s="10"/>
      <c r="D37" s="6"/>
      <c r="E37" s="10"/>
      <c r="F37" s="4"/>
      <c r="G37" s="10"/>
      <c r="H37" s="7"/>
      <c r="I37" s="10"/>
      <c r="J37" s="6"/>
      <c r="K37" s="19"/>
      <c r="L37" s="3"/>
      <c r="M37" s="12"/>
      <c r="N37" s="13"/>
      <c r="O37" s="12"/>
      <c r="P37" s="13"/>
      <c r="Q37" s="15"/>
      <c r="R37" s="17"/>
      <c r="S37" s="18"/>
      <c r="T37" s="18"/>
      <c r="U37" s="18"/>
      <c r="V37" s="207"/>
      <c r="W37" s="207"/>
      <c r="X37" s="16"/>
      <c r="Y37" s="16"/>
      <c r="Z37" s="7"/>
      <c r="AI37" s="208" t="s">
        <v>26</v>
      </c>
      <c r="AJ37" s="208"/>
      <c r="AK37" s="126">
        <f>SUM(D36:AK36)</f>
        <v>27.875000000000007</v>
      </c>
      <c r="AL37" s="125"/>
      <c r="AM37" s="125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</row>
    <row r="38" spans="2:53" s="8" customFormat="1" ht="15" customHeight="1">
      <c r="B38" s="62" t="s">
        <v>27</v>
      </c>
      <c r="C38" s="56"/>
      <c r="D38" s="62"/>
      <c r="E38" s="56"/>
      <c r="F38" s="62"/>
      <c r="G38" s="66">
        <v>50</v>
      </c>
      <c r="H38" s="7" t="s">
        <v>28</v>
      </c>
      <c r="I38" s="10"/>
      <c r="J38" s="6"/>
      <c r="K38" s="19" t="s">
        <v>92</v>
      </c>
      <c r="L38" s="3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2:53" s="8" customFormat="1" ht="19.5" customHeight="1">
      <c r="B39" s="6"/>
      <c r="C39" s="10"/>
      <c r="D39" s="6"/>
      <c r="E39" s="10"/>
      <c r="F39" s="4"/>
      <c r="G39" s="10"/>
      <c r="H39" s="7"/>
      <c r="I39" s="10"/>
      <c r="J39" s="6"/>
      <c r="K39" s="19"/>
      <c r="L39" s="3"/>
      <c r="M39" s="12"/>
      <c r="N39" s="13"/>
      <c r="O39" s="12"/>
      <c r="P39" s="13"/>
      <c r="Q39" s="15"/>
      <c r="R39" s="17"/>
      <c r="S39" s="210" t="s">
        <v>85</v>
      </c>
      <c r="T39" s="210"/>
      <c r="U39" s="210"/>
      <c r="V39" s="210"/>
      <c r="W39" s="210"/>
      <c r="X39" s="210"/>
      <c r="Y39" s="16"/>
      <c r="Z39" s="7"/>
      <c r="AB39" s="212" t="s">
        <v>25</v>
      </c>
      <c r="AC39" s="212"/>
      <c r="AD39" s="212"/>
      <c r="AE39" s="212"/>
      <c r="AF39" s="212"/>
      <c r="AG39" s="212"/>
      <c r="AH39" s="212"/>
      <c r="AI39" s="163">
        <v>33.458333333333336</v>
      </c>
      <c r="AJ39" s="163"/>
      <c r="AK39" s="16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0" spans="2:53">
      <c r="B40" s="213" t="s">
        <v>77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S40" s="210"/>
      <c r="T40" s="210"/>
      <c r="U40" s="210"/>
      <c r="V40" s="210"/>
      <c r="W40" s="210"/>
      <c r="X40" s="210"/>
      <c r="AB40" s="215" t="s">
        <v>93</v>
      </c>
      <c r="AC40" s="192"/>
      <c r="AD40" s="192"/>
      <c r="AE40" s="192"/>
      <c r="AF40" s="192"/>
      <c r="AG40" s="192"/>
      <c r="AH40" s="192"/>
      <c r="AI40" s="163">
        <v>4.166666666666667</v>
      </c>
      <c r="AJ40" s="163"/>
      <c r="AK40" s="163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</row>
    <row r="41" spans="2:5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/>
      <c r="R41" s="52"/>
      <c r="S41" s="211"/>
      <c r="T41" s="211"/>
      <c r="U41" s="211"/>
      <c r="V41" s="211"/>
      <c r="W41" s="211"/>
      <c r="X41" s="211"/>
      <c r="Y41"/>
      <c r="Z41" s="9"/>
      <c r="AB41" s="192" t="s">
        <v>24</v>
      </c>
      <c r="AC41" s="192"/>
      <c r="AD41" s="192"/>
      <c r="AE41" s="192"/>
      <c r="AF41" s="192"/>
      <c r="AG41" s="192"/>
      <c r="AH41" s="192"/>
      <c r="AI41" s="163">
        <v>0.29166666666666669</v>
      </c>
      <c r="AJ41" s="163"/>
      <c r="AK41" s="163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</row>
    <row r="42" spans="2:53" ht="12.75" customHeight="1">
      <c r="B42" s="199" t="s">
        <v>12</v>
      </c>
      <c r="C42" s="200"/>
      <c r="D42" s="81"/>
      <c r="E42" s="199" t="s">
        <v>13</v>
      </c>
      <c r="F42" s="200"/>
      <c r="G42" s="81">
        <v>0.3125</v>
      </c>
      <c r="H42" s="199" t="s">
        <v>14</v>
      </c>
      <c r="I42" s="200"/>
      <c r="J42" s="81"/>
      <c r="K42" s="199" t="s">
        <v>15</v>
      </c>
      <c r="L42" s="200"/>
      <c r="M42" s="81">
        <v>0.72916666666666663</v>
      </c>
      <c r="N42" s="199" t="s">
        <v>16</v>
      </c>
      <c r="O42" s="200"/>
      <c r="P42" s="81">
        <v>8.3333333333333329E-2</v>
      </c>
      <c r="Q42"/>
      <c r="R42" s="53"/>
      <c r="S42" s="198" t="s">
        <v>80</v>
      </c>
      <c r="T42" s="198"/>
      <c r="U42" s="194"/>
      <c r="V42" s="194"/>
      <c r="W42" s="184"/>
      <c r="X42" s="185"/>
      <c r="Y42" s="95"/>
      <c r="Z42" s="9"/>
      <c r="AB42" s="127" t="s">
        <v>65</v>
      </c>
      <c r="AI42" s="163">
        <v>0.875</v>
      </c>
      <c r="AJ42" s="163"/>
      <c r="AK42" s="163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>
      <c r="B43" s="201"/>
      <c r="C43" s="202"/>
      <c r="D43" s="81"/>
      <c r="E43" s="201"/>
      <c r="F43" s="202"/>
      <c r="G43" s="81">
        <v>0.69444444444444453</v>
      </c>
      <c r="H43" s="201"/>
      <c r="I43" s="202"/>
      <c r="J43" s="81"/>
      <c r="K43" s="201"/>
      <c r="L43" s="202"/>
      <c r="M43" s="81">
        <v>0.9375</v>
      </c>
      <c r="N43" s="201"/>
      <c r="O43" s="202"/>
      <c r="P43" s="81">
        <v>0.20833333333333334</v>
      </c>
      <c r="Q43"/>
      <c r="R43" s="54"/>
      <c r="S43" s="198" t="s">
        <v>81</v>
      </c>
      <c r="T43" s="198"/>
      <c r="U43" s="183"/>
      <c r="V43" s="183"/>
      <c r="W43" s="184"/>
      <c r="X43" s="185"/>
      <c r="Y43" s="96"/>
      <c r="Z43" s="23"/>
      <c r="AA43" s="89"/>
      <c r="AB43" s="89"/>
      <c r="AC43" s="90"/>
      <c r="AD43" s="90"/>
      <c r="AE43" s="89"/>
      <c r="AF43" s="90"/>
      <c r="AG43" s="90"/>
      <c r="AH43" s="89"/>
      <c r="AI43" s="196"/>
      <c r="AJ43" s="197"/>
      <c r="AK43" s="197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</row>
    <row r="44" spans="2:53">
      <c r="B44" s="201"/>
      <c r="C44" s="202"/>
      <c r="D44" s="81"/>
      <c r="E44" s="201"/>
      <c r="F44" s="202"/>
      <c r="G44" s="81"/>
      <c r="H44" s="201"/>
      <c r="I44" s="202"/>
      <c r="J44" s="81"/>
      <c r="K44" s="201"/>
      <c r="L44" s="202"/>
      <c r="M44" s="81"/>
      <c r="N44" s="201"/>
      <c r="O44" s="202"/>
      <c r="P44" s="81">
        <v>0.27083333333333331</v>
      </c>
      <c r="Q44"/>
      <c r="R44" s="54"/>
      <c r="S44" s="198" t="s">
        <v>82</v>
      </c>
      <c r="T44" s="198"/>
      <c r="U44" s="194"/>
      <c r="V44" s="194"/>
      <c r="W44" s="184"/>
      <c r="X44" s="185"/>
      <c r="Y44" s="95"/>
      <c r="Z44" s="24"/>
      <c r="AB44" s="195" t="s">
        <v>66</v>
      </c>
      <c r="AC44" s="195"/>
      <c r="AD44" s="195"/>
      <c r="AE44" s="195"/>
      <c r="AF44" s="195"/>
      <c r="AG44" s="195"/>
      <c r="AH44" s="89"/>
      <c r="AI44" s="196">
        <f>AI39-(AI40+AI41+AI42)</f>
        <v>28.125</v>
      </c>
      <c r="AJ44" s="197"/>
      <c r="AK44" s="197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</row>
    <row r="45" spans="2:53" ht="12.75" customHeight="1">
      <c r="B45" s="201"/>
      <c r="C45" s="202"/>
      <c r="D45" s="81"/>
      <c r="E45" s="201"/>
      <c r="F45" s="202"/>
      <c r="G45" s="81"/>
      <c r="H45" s="201"/>
      <c r="I45" s="202"/>
      <c r="J45" s="81"/>
      <c r="K45" s="201"/>
      <c r="L45" s="202"/>
      <c r="M45" s="81"/>
      <c r="N45" s="201"/>
      <c r="O45" s="202"/>
      <c r="P45" s="81">
        <v>0.3125</v>
      </c>
      <c r="Q45"/>
      <c r="R45" s="55"/>
      <c r="S45" s="198" t="s">
        <v>83</v>
      </c>
      <c r="T45" s="198"/>
      <c r="U45" s="183"/>
      <c r="V45" s="183"/>
      <c r="W45" s="184"/>
      <c r="X45" s="185"/>
      <c r="Y45" s="27"/>
      <c r="Z45" s="27"/>
      <c r="AA45" s="20"/>
      <c r="AB45" s="20"/>
      <c r="AC45" s="20"/>
      <c r="AD45" s="9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</row>
    <row r="46" spans="2:53" s="2" customFormat="1">
      <c r="B46" s="205" t="s">
        <v>26</v>
      </c>
      <c r="C46" s="206"/>
      <c r="D46" s="82">
        <f>(D43-D42)+(D45-D44)</f>
        <v>0</v>
      </c>
      <c r="E46" s="203"/>
      <c r="F46" s="204"/>
      <c r="G46" s="82">
        <f>(G43-G42)+(G45-G44)</f>
        <v>0.38194444444444453</v>
      </c>
      <c r="H46" s="203"/>
      <c r="I46" s="204"/>
      <c r="J46" s="82">
        <f>(J43-J42)+(J45-J44)</f>
        <v>0</v>
      </c>
      <c r="K46" s="203"/>
      <c r="L46" s="204"/>
      <c r="M46" s="82">
        <f>(M43-M42)+(M45-M44)</f>
        <v>0.20833333333333337</v>
      </c>
      <c r="N46" s="203"/>
      <c r="O46" s="204"/>
      <c r="P46" s="82">
        <f>(P43-P42)+(P45-P44)</f>
        <v>0.16666666666666669</v>
      </c>
      <c r="R46" s="55"/>
      <c r="S46" s="193" t="s">
        <v>84</v>
      </c>
      <c r="T46" s="193"/>
      <c r="U46" s="183"/>
      <c r="V46" s="183"/>
      <c r="W46" s="184"/>
      <c r="X46" s="185"/>
      <c r="Y46" s="27"/>
      <c r="Z46" s="27"/>
      <c r="AA46"/>
      <c r="AB46" s="186" t="s">
        <v>67</v>
      </c>
      <c r="AC46" s="186"/>
      <c r="AD46" s="186"/>
      <c r="AE46" s="186"/>
      <c r="AF46" s="186"/>
      <c r="AG46" s="186"/>
      <c r="AH46" s="186"/>
      <c r="AI46" s="188">
        <f>AK37</f>
        <v>27.875000000000007</v>
      </c>
      <c r="AJ46" s="188"/>
      <c r="AK46" s="188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</row>
    <row r="47" spans="2:53">
      <c r="B47" s="189" t="s">
        <v>17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1"/>
      <c r="P47" s="83">
        <f>P46+M46+J46+G46+D46</f>
        <v>0.75694444444444464</v>
      </c>
      <c r="Q47"/>
      <c r="R47" s="56"/>
      <c r="S47" s="61"/>
      <c r="T47" s="61"/>
      <c r="U47" s="61"/>
      <c r="V47" s="61"/>
      <c r="W47" s="61"/>
      <c r="X47" s="27"/>
      <c r="Y47" s="27"/>
      <c r="AA47" s="27"/>
      <c r="AB47" s="192"/>
      <c r="AC47" s="192"/>
      <c r="AD47" s="192"/>
      <c r="AE47" s="192"/>
      <c r="AF47" s="192"/>
      <c r="AG47" s="192"/>
      <c r="AH47" s="192"/>
      <c r="AI47" s="163"/>
      <c r="AJ47" s="163"/>
      <c r="AK47" s="163"/>
      <c r="AL47" s="60"/>
      <c r="AM47" s="106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</row>
    <row r="48" spans="2:53">
      <c r="B48" s="64"/>
      <c r="C48" s="64"/>
      <c r="D48" s="94">
        <f>IF((D44-D43)&lt;TIME(0,30,0),1,0)</f>
        <v>1</v>
      </c>
      <c r="E48" s="94"/>
      <c r="F48" s="94"/>
      <c r="G48" s="94">
        <f>IF((G44-G43)&lt;TIME(0,30,0),1,0)</f>
        <v>1</v>
      </c>
      <c r="H48" s="94"/>
      <c r="I48" s="94"/>
      <c r="J48" s="94">
        <f>IF((J44-J43)&lt;TIME(0,30,0),1,0)</f>
        <v>1</v>
      </c>
      <c r="K48" s="94"/>
      <c r="L48" s="94"/>
      <c r="M48" s="94">
        <f>IF((M44-M43)&lt;TIME(0,30,0),1,0)</f>
        <v>1</v>
      </c>
      <c r="N48" s="94"/>
      <c r="O48" s="94"/>
      <c r="P48" s="94">
        <f>IF((P44-P43)&lt;TIME(0,30,0),1,0)</f>
        <v>0</v>
      </c>
      <c r="T48" s="20"/>
      <c r="V48" s="176"/>
      <c r="W48" s="176"/>
      <c r="X48" s="20"/>
      <c r="AA48" s="27"/>
      <c r="AB48" s="131" t="s">
        <v>87</v>
      </c>
      <c r="AC48" s="21"/>
      <c r="AD48" s="11"/>
      <c r="AE48" s="2"/>
      <c r="AF48" s="2"/>
      <c r="AG48" s="2"/>
      <c r="AH48" s="2"/>
      <c r="AI48" s="2"/>
      <c r="AJ48" s="2"/>
      <c r="AK48" s="137">
        <f>AI44-AI46</f>
        <v>0.24999999999999289</v>
      </c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</row>
    <row r="49" spans="2:53">
      <c r="B49" s="177" t="s">
        <v>23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42"/>
      <c r="W49" s="42"/>
      <c r="X49" s="42"/>
      <c r="Y49" s="42"/>
      <c r="AB49" s="132" t="s">
        <v>68</v>
      </c>
      <c r="AC49" s="22"/>
      <c r="AD49" s="22"/>
      <c r="AE49" s="22"/>
      <c r="AF49" s="22"/>
      <c r="AG49" s="22"/>
      <c r="AH49" s="22"/>
      <c r="AI49" s="163"/>
      <c r="AJ49" s="163"/>
      <c r="AK49" s="16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</row>
    <row r="50" spans="2:53">
      <c r="B50" s="173" t="s">
        <v>18</v>
      </c>
      <c r="C50" s="174"/>
      <c r="D50" s="174"/>
      <c r="E50" s="174"/>
      <c r="F50" s="174"/>
      <c r="G50" s="174"/>
      <c r="H50" s="175"/>
      <c r="I50" s="180">
        <v>43393</v>
      </c>
      <c r="J50" s="181"/>
      <c r="K50" s="181"/>
      <c r="L50" s="181"/>
      <c r="M50" s="181"/>
      <c r="N50" s="181"/>
      <c r="O50" s="182"/>
      <c r="P50" s="180" t="s">
        <v>91</v>
      </c>
      <c r="Q50" s="181"/>
      <c r="R50" s="181"/>
      <c r="S50" s="181"/>
      <c r="T50" s="181"/>
      <c r="U50" s="182"/>
      <c r="V50" s="43"/>
      <c r="W50" s="43"/>
      <c r="X50" s="43"/>
      <c r="Y50" s="43"/>
      <c r="AB50" s="127" t="s">
        <v>69</v>
      </c>
      <c r="AK50" s="136">
        <f>AI46-AI44</f>
        <v>-0.24999999999999289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</row>
    <row r="51" spans="2:53">
      <c r="B51" s="44" t="s">
        <v>19</v>
      </c>
      <c r="C51" s="45"/>
      <c r="D51" s="46"/>
      <c r="E51" s="46"/>
      <c r="F51" s="46"/>
      <c r="G51" s="46"/>
      <c r="H51" s="49"/>
      <c r="I51" s="170">
        <v>43456</v>
      </c>
      <c r="J51" s="171"/>
      <c r="K51" s="171"/>
      <c r="L51" s="171"/>
      <c r="M51" s="171"/>
      <c r="N51" s="171"/>
      <c r="O51" s="172"/>
      <c r="P51" s="170">
        <v>43471</v>
      </c>
      <c r="Q51" s="171"/>
      <c r="R51" s="171"/>
      <c r="S51" s="171"/>
      <c r="T51" s="171"/>
      <c r="U51" s="172"/>
      <c r="V51" s="43"/>
      <c r="W51" s="43"/>
      <c r="X51" s="43"/>
      <c r="Y51" s="43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</row>
    <row r="52" spans="2:53">
      <c r="B52" s="44" t="s">
        <v>20</v>
      </c>
      <c r="C52" s="45"/>
      <c r="D52" s="45"/>
      <c r="E52" s="45"/>
      <c r="F52" s="45"/>
      <c r="G52" s="45"/>
      <c r="H52" s="50"/>
      <c r="I52" s="170">
        <v>43505</v>
      </c>
      <c r="J52" s="171"/>
      <c r="K52" s="171"/>
      <c r="L52" s="171"/>
      <c r="M52" s="171"/>
      <c r="N52" s="171"/>
      <c r="O52" s="172"/>
      <c r="P52" s="170">
        <v>43520</v>
      </c>
      <c r="Q52" s="171"/>
      <c r="R52" s="171"/>
      <c r="S52" s="171"/>
      <c r="T52" s="171"/>
      <c r="U52" s="172"/>
      <c r="V52" s="43"/>
      <c r="W52" s="43"/>
      <c r="X52" s="43"/>
      <c r="Y52" s="43"/>
      <c r="AB52" s="135" t="s">
        <v>76</v>
      </c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</row>
    <row r="53" spans="2:53">
      <c r="B53" s="173" t="s">
        <v>21</v>
      </c>
      <c r="C53" s="174"/>
      <c r="D53" s="174"/>
      <c r="E53" s="174"/>
      <c r="F53" s="174"/>
      <c r="G53" s="174"/>
      <c r="H53" s="175"/>
      <c r="I53" s="170">
        <v>43561</v>
      </c>
      <c r="J53" s="171"/>
      <c r="K53" s="171"/>
      <c r="L53" s="171"/>
      <c r="M53" s="171"/>
      <c r="N53" s="171"/>
      <c r="O53" s="172"/>
      <c r="P53" s="170">
        <v>43577</v>
      </c>
      <c r="Q53" s="171"/>
      <c r="R53" s="171"/>
      <c r="S53" s="171"/>
      <c r="T53" s="171"/>
      <c r="U53" s="172"/>
      <c r="V53" s="43"/>
      <c r="W53" s="43"/>
      <c r="X53" s="43"/>
      <c r="Y53" s="43"/>
      <c r="AB53" s="22" t="s">
        <v>37</v>
      </c>
      <c r="AC53" s="22"/>
      <c r="AD53" s="22"/>
      <c r="AE53" s="22"/>
      <c r="AF53" s="22"/>
      <c r="AG53" s="22"/>
      <c r="AH53" s="22"/>
      <c r="AI53" s="163">
        <v>1.3333333333333333</v>
      </c>
      <c r="AJ53" s="163"/>
      <c r="AK53" s="163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</row>
    <row r="54" spans="2:53">
      <c r="B54" s="47" t="s">
        <v>22</v>
      </c>
      <c r="C54" s="48"/>
      <c r="D54" s="48"/>
      <c r="E54" s="48"/>
      <c r="F54" s="48"/>
      <c r="G54" s="48"/>
      <c r="H54" s="51"/>
      <c r="I54" s="164">
        <v>43653</v>
      </c>
      <c r="J54" s="165"/>
      <c r="K54" s="165"/>
      <c r="L54" s="165"/>
      <c r="M54" s="165"/>
      <c r="N54" s="165"/>
      <c r="O54" s="166"/>
      <c r="P54" s="164">
        <v>43708</v>
      </c>
      <c r="Q54" s="165"/>
      <c r="R54" s="165"/>
      <c r="S54" s="165"/>
      <c r="T54" s="165"/>
      <c r="U54" s="166"/>
      <c r="V54" s="43"/>
      <c r="W54" s="43"/>
      <c r="X54" s="43"/>
      <c r="Y54" s="43"/>
      <c r="AB54" s="167" t="s">
        <v>38</v>
      </c>
      <c r="AC54" s="167"/>
      <c r="AD54" s="167"/>
      <c r="AE54" s="167"/>
      <c r="AF54" s="167"/>
      <c r="AG54" s="167"/>
      <c r="AH54" s="167"/>
      <c r="AI54" s="168">
        <v>1.8333333333333333</v>
      </c>
      <c r="AJ54" s="168"/>
      <c r="AK54" s="168"/>
      <c r="AL54" s="129"/>
      <c r="AM54" s="129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</row>
    <row r="55" spans="2:53">
      <c r="O55" s="25"/>
      <c r="P55" s="26"/>
      <c r="Q55" s="25"/>
      <c r="R55" s="26"/>
      <c r="S55" s="25"/>
      <c r="T55" s="26"/>
      <c r="AB55" s="60" t="s">
        <v>39</v>
      </c>
      <c r="AC55" s="60"/>
      <c r="AD55" s="60"/>
      <c r="AE55" s="60"/>
      <c r="AF55" s="60"/>
      <c r="AG55" s="60"/>
      <c r="AH55" s="60"/>
      <c r="AI55" s="124"/>
      <c r="AJ55" s="124"/>
      <c r="AK55" s="129">
        <v>0.20833333333333334</v>
      </c>
      <c r="AM55" s="107"/>
      <c r="AN55" s="108"/>
      <c r="AO55" s="108"/>
      <c r="AP55" s="108"/>
      <c r="AQ55" s="108"/>
      <c r="AR55" s="108"/>
      <c r="AS55" s="108"/>
      <c r="AT55" s="107"/>
      <c r="AU55" s="107"/>
      <c r="AV55" s="107"/>
      <c r="AW55" s="107"/>
      <c r="AX55" s="107"/>
      <c r="AY55" s="68"/>
      <c r="AZ55" s="68"/>
      <c r="BA55" s="68"/>
    </row>
    <row r="56" spans="2:53">
      <c r="O56" s="25"/>
      <c r="P56" s="26"/>
      <c r="Q56" s="25"/>
      <c r="R56" s="26"/>
      <c r="S56" s="25"/>
      <c r="T56" s="26"/>
      <c r="AB56" s="60" t="s">
        <v>40</v>
      </c>
      <c r="AC56" s="60"/>
      <c r="AD56" s="60"/>
      <c r="AE56" s="60"/>
      <c r="AF56" s="60"/>
      <c r="AG56" s="60"/>
      <c r="AH56" s="60"/>
      <c r="AI56" s="124"/>
      <c r="AJ56" s="124"/>
      <c r="AK56" s="124">
        <v>0.45833333333333331</v>
      </c>
      <c r="AM56" s="107"/>
      <c r="AN56" s="108"/>
      <c r="AO56" s="108"/>
      <c r="AP56" s="108"/>
      <c r="AQ56" s="108"/>
      <c r="AR56" s="108"/>
      <c r="AS56" s="108"/>
      <c r="AT56" s="107"/>
      <c r="AU56" s="107"/>
      <c r="AV56" s="107"/>
      <c r="AW56" s="107"/>
      <c r="AX56" s="107"/>
      <c r="AY56" s="68"/>
      <c r="AZ56" s="68"/>
      <c r="BA56" s="68"/>
    </row>
    <row r="57" spans="2:53"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AB57" s="60" t="s">
        <v>41</v>
      </c>
      <c r="AC57" s="60"/>
      <c r="AD57" s="60"/>
      <c r="AE57" s="60"/>
      <c r="AF57" s="60"/>
      <c r="AG57" s="60"/>
      <c r="AH57" s="60"/>
      <c r="AI57" s="124"/>
      <c r="AJ57" s="124"/>
      <c r="AK57" s="124">
        <v>2.0833333333333332E-2</v>
      </c>
      <c r="AM57" s="68"/>
      <c r="AN57" s="68"/>
      <c r="AO57" s="109"/>
      <c r="AP57" s="109">
        <f>IF(D43="",1,IF(D42="",1,IF((D43-D42)=TIME(0,0,0),1,0)))</f>
        <v>1</v>
      </c>
      <c r="AQ57" s="109">
        <f>IF(G43="",1,IF(G42="",1,IF((G43-G42)=TIME(0,0,0),1,0)))</f>
        <v>0</v>
      </c>
      <c r="AR57" s="109">
        <f>IF(J43="",1,IF(J42="",1,IF((J43-J42)=TIME(0,0,0),1,0)))</f>
        <v>1</v>
      </c>
      <c r="AS57" s="109">
        <f>IF(M43="",1,IF(M42="",1,IF((M43-M42)=TIME(0,0,0),1,0)))</f>
        <v>0</v>
      </c>
      <c r="AT57" s="109">
        <f>IF(P43="",1,IF(P42="",1,IF((P43-P42)=TIME(0,0,0),1,0)))</f>
        <v>0</v>
      </c>
      <c r="AU57" s="68"/>
      <c r="AV57" s="68"/>
      <c r="AW57" s="68"/>
      <c r="AX57" s="68"/>
      <c r="AY57" s="68"/>
      <c r="AZ57" s="68"/>
      <c r="BA57" s="68"/>
    </row>
    <row r="58" spans="2:53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77"/>
      <c r="P58" s="78"/>
      <c r="AB58" s="60" t="s">
        <v>78</v>
      </c>
      <c r="AC58" s="60"/>
      <c r="AD58" s="60"/>
      <c r="AE58" s="60"/>
      <c r="AF58" s="60"/>
      <c r="AG58" s="60"/>
      <c r="AH58" s="60"/>
      <c r="AI58" s="124"/>
      <c r="AJ58" s="124"/>
      <c r="AK58" s="124">
        <v>1.3888888888888888E-2</v>
      </c>
      <c r="AL58" s="92"/>
      <c r="AM58" s="93"/>
      <c r="AN58" s="93"/>
      <c r="AO58" s="97">
        <f>10-SUM(AP57:AT58)</f>
        <v>4</v>
      </c>
      <c r="AP58" s="97">
        <f>IF(D45="",1,IF(D44="",1,IF((D45-D44)=TIME(0,0,0),1,0)))</f>
        <v>1</v>
      </c>
      <c r="AQ58" s="97">
        <f>IF(G45="",1,IF(G44="",1,IF((G45-G44)=TIME(0,0,0),1,0)))</f>
        <v>1</v>
      </c>
      <c r="AR58" s="97">
        <f>IF(J45="",1,IF(J44="",1,IF((J45-J44)=TIME(0,0,0),1,0)))</f>
        <v>1</v>
      </c>
      <c r="AS58" s="97">
        <f>IF(M45="",1,IF(M44="",1,IF((M45-M44)=TIME(0,0,0),1,0)))</f>
        <v>1</v>
      </c>
      <c r="AT58" s="97">
        <f>IF(P45="",1,IF(P44="",1,IF((P45-P44)=TIME(0,0,0),1,0)))</f>
        <v>0</v>
      </c>
    </row>
    <row r="59" spans="2:53">
      <c r="D59" s="157"/>
      <c r="E59" s="158"/>
      <c r="F59" s="158"/>
      <c r="G59" s="159"/>
      <c r="H59" s="160"/>
      <c r="I59" s="161"/>
      <c r="J59" s="161"/>
      <c r="K59" s="161"/>
      <c r="L59" s="161"/>
      <c r="M59" s="162"/>
      <c r="N59" s="71"/>
      <c r="O59" s="75"/>
      <c r="P59" s="79"/>
      <c r="AB59" t="s">
        <v>79</v>
      </c>
    </row>
    <row r="60" spans="2:53">
      <c r="D60" s="152"/>
      <c r="E60" s="153"/>
      <c r="F60" s="153"/>
      <c r="G60" s="154"/>
      <c r="H60" s="142"/>
      <c r="I60" s="143"/>
      <c r="J60" s="143"/>
      <c r="K60" s="143"/>
      <c r="L60" s="143"/>
      <c r="M60" s="144"/>
      <c r="N60" s="72"/>
      <c r="O60" s="75"/>
      <c r="P60" s="79"/>
      <c r="Y60" s="91"/>
      <c r="AA60" s="91"/>
      <c r="AB60" s="91" t="s">
        <v>63</v>
      </c>
      <c r="AC60" s="91"/>
      <c r="AD60" s="91"/>
      <c r="AE60" s="91"/>
      <c r="AF60" s="91"/>
      <c r="AG60" s="91"/>
      <c r="AH60" s="91"/>
      <c r="AI60" s="91"/>
      <c r="AJ60" s="123"/>
      <c r="AK60" s="134" t="s">
        <v>75</v>
      </c>
      <c r="AL60" s="130"/>
    </row>
    <row r="61" spans="2:53">
      <c r="D61" s="152"/>
      <c r="E61" s="153"/>
      <c r="F61" s="153"/>
      <c r="G61" s="154"/>
      <c r="H61" s="142"/>
      <c r="I61" s="143"/>
      <c r="J61" s="143"/>
      <c r="K61" s="143"/>
      <c r="L61" s="143"/>
      <c r="M61" s="144"/>
      <c r="N61" s="72"/>
      <c r="O61" s="75"/>
      <c r="P61" s="79"/>
      <c r="AB61" s="128" t="s">
        <v>36</v>
      </c>
      <c r="AC61" s="128"/>
      <c r="AD61" s="128"/>
      <c r="AE61" s="128"/>
      <c r="AF61" s="128"/>
      <c r="AG61" s="128"/>
      <c r="AH61" s="128"/>
      <c r="AI61" s="128"/>
      <c r="AJ61" s="128"/>
      <c r="AK61" s="128"/>
    </row>
    <row r="62" spans="2:53">
      <c r="D62" s="152"/>
      <c r="E62" s="153"/>
      <c r="F62" s="153"/>
      <c r="G62" s="154"/>
      <c r="H62" s="142"/>
      <c r="I62" s="143"/>
      <c r="J62" s="143"/>
      <c r="K62" s="143"/>
      <c r="L62" s="143"/>
      <c r="M62" s="144"/>
      <c r="N62" s="72"/>
      <c r="O62" s="75"/>
      <c r="P62" s="79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</row>
    <row r="63" spans="2:53">
      <c r="D63" s="152"/>
      <c r="E63" s="153"/>
      <c r="F63" s="153"/>
      <c r="G63" s="154"/>
      <c r="H63" s="142"/>
      <c r="I63" s="143"/>
      <c r="J63" s="143"/>
      <c r="K63" s="143"/>
      <c r="L63" s="143"/>
      <c r="M63" s="144"/>
      <c r="N63" s="72"/>
      <c r="O63" s="75"/>
      <c r="P63" s="79"/>
      <c r="S63" s="151" t="s">
        <v>70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2:53">
      <c r="D64" s="152"/>
      <c r="E64" s="153"/>
      <c r="F64" s="153"/>
      <c r="G64" s="154"/>
      <c r="H64" s="142"/>
      <c r="I64" s="143"/>
      <c r="J64" s="143"/>
      <c r="K64" s="143"/>
      <c r="L64" s="143"/>
      <c r="M64" s="144"/>
      <c r="N64" s="72"/>
      <c r="O64" s="75"/>
      <c r="P64" s="79"/>
      <c r="S64" s="133" t="s">
        <v>71</v>
      </c>
    </row>
    <row r="65" spans="4:36">
      <c r="D65" s="152"/>
      <c r="E65" s="153"/>
      <c r="F65" s="153"/>
      <c r="G65" s="154"/>
      <c r="H65" s="142"/>
      <c r="I65" s="143"/>
      <c r="J65" s="143"/>
      <c r="K65" s="143"/>
      <c r="L65" s="143"/>
      <c r="M65" s="144"/>
      <c r="N65" s="72"/>
      <c r="O65" s="75"/>
      <c r="P65" s="79"/>
      <c r="S65" s="133" t="s">
        <v>72</v>
      </c>
      <c r="AA65" s="133" t="s">
        <v>73</v>
      </c>
      <c r="AJ65" s="133" t="s">
        <v>74</v>
      </c>
    </row>
    <row r="66" spans="4:36">
      <c r="D66" s="139"/>
      <c r="E66" s="140"/>
      <c r="F66" s="140"/>
      <c r="G66" s="141"/>
      <c r="H66" s="142"/>
      <c r="I66" s="143"/>
      <c r="J66" s="143"/>
      <c r="K66" s="143"/>
      <c r="L66" s="143"/>
      <c r="M66" s="144"/>
      <c r="N66" s="73"/>
      <c r="O66" s="75"/>
      <c r="P66" s="79"/>
    </row>
    <row r="67" spans="4:36">
      <c r="D67" s="139"/>
      <c r="E67" s="140"/>
      <c r="F67" s="140"/>
      <c r="G67" s="141"/>
      <c r="H67" s="142"/>
      <c r="I67" s="143"/>
      <c r="J67" s="143"/>
      <c r="K67" s="143"/>
      <c r="L67" s="143"/>
      <c r="M67" s="144"/>
      <c r="N67" s="73"/>
      <c r="O67" s="75"/>
      <c r="P67" s="79"/>
    </row>
    <row r="68" spans="4:36">
      <c r="D68" s="139"/>
      <c r="E68" s="140"/>
      <c r="F68" s="140"/>
      <c r="G68" s="141"/>
      <c r="H68" s="142"/>
      <c r="I68" s="143"/>
      <c r="J68" s="143"/>
      <c r="K68" s="143"/>
      <c r="L68" s="143"/>
      <c r="M68" s="144"/>
      <c r="N68" s="73"/>
      <c r="O68" s="75"/>
      <c r="P68" s="79"/>
    </row>
    <row r="69" spans="4:36">
      <c r="D69" s="145"/>
      <c r="E69" s="146"/>
      <c r="F69" s="146"/>
      <c r="G69" s="147"/>
      <c r="H69" s="148"/>
      <c r="I69" s="149"/>
      <c r="J69" s="149"/>
      <c r="K69" s="149"/>
      <c r="L69" s="149"/>
      <c r="M69" s="150"/>
      <c r="N69" s="74"/>
      <c r="O69" s="76"/>
      <c r="P69" s="80"/>
    </row>
    <row r="70" spans="4:36"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2"/>
      <c r="P70" s="70"/>
    </row>
    <row r="71" spans="4:36">
      <c r="S71" s="63" t="s">
        <v>88</v>
      </c>
    </row>
    <row r="72" spans="4:36">
      <c r="S72" s="63" t="s">
        <v>89</v>
      </c>
    </row>
    <row r="73" spans="4:36">
      <c r="S73" s="63" t="s">
        <v>90</v>
      </c>
    </row>
    <row r="74" spans="4:36">
      <c r="D74" t="s">
        <v>86</v>
      </c>
      <c r="M74" s="137">
        <f>AK48</f>
        <v>0.24999999999999289</v>
      </c>
    </row>
  </sheetData>
  <sheetProtection selectLockedCells="1"/>
  <dataConsolidate/>
  <mergeCells count="99">
    <mergeCell ref="E1:S1"/>
    <mergeCell ref="B2:AK2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V37:W37"/>
    <mergeCell ref="AI37:AJ37"/>
    <mergeCell ref="M38:AK38"/>
    <mergeCell ref="S39:X41"/>
    <mergeCell ref="AB39:AH39"/>
    <mergeCell ref="AI39:AK39"/>
    <mergeCell ref="B40:P41"/>
    <mergeCell ref="AB40:AH40"/>
    <mergeCell ref="AI40:AK40"/>
    <mergeCell ref="AB41:AH41"/>
    <mergeCell ref="AI41:AK41"/>
    <mergeCell ref="B42:C45"/>
    <mergeCell ref="E42:F46"/>
    <mergeCell ref="H42:I46"/>
    <mergeCell ref="K42:L46"/>
    <mergeCell ref="N42:O46"/>
    <mergeCell ref="B46:C46"/>
    <mergeCell ref="U42:V42"/>
    <mergeCell ref="W42:X42"/>
    <mergeCell ref="AI42:AK42"/>
    <mergeCell ref="S43:T43"/>
    <mergeCell ref="U43:V43"/>
    <mergeCell ref="W43:X43"/>
    <mergeCell ref="AI43:AK43"/>
    <mergeCell ref="S42:T42"/>
    <mergeCell ref="U44:V44"/>
    <mergeCell ref="W44:X44"/>
    <mergeCell ref="AB44:AG44"/>
    <mergeCell ref="AI44:AK44"/>
    <mergeCell ref="S45:T45"/>
    <mergeCell ref="U45:V45"/>
    <mergeCell ref="W45:X45"/>
    <mergeCell ref="S44:T44"/>
    <mergeCell ref="U46:V46"/>
    <mergeCell ref="W46:X46"/>
    <mergeCell ref="AB46:AH46"/>
    <mergeCell ref="AI46:AK46"/>
    <mergeCell ref="B47:O47"/>
    <mergeCell ref="AB47:AH47"/>
    <mergeCell ref="AI47:AK47"/>
    <mergeCell ref="S46:T46"/>
    <mergeCell ref="V48:W48"/>
    <mergeCell ref="B49:U49"/>
    <mergeCell ref="AI49:AK49"/>
    <mergeCell ref="B50:H50"/>
    <mergeCell ref="I50:O50"/>
    <mergeCell ref="P50:U50"/>
    <mergeCell ref="C57:V57"/>
    <mergeCell ref="I51:O51"/>
    <mergeCell ref="P51:U51"/>
    <mergeCell ref="I52:O52"/>
    <mergeCell ref="P52:U52"/>
    <mergeCell ref="B53:H53"/>
    <mergeCell ref="I53:O53"/>
    <mergeCell ref="P53:U53"/>
    <mergeCell ref="AI53:AK53"/>
    <mergeCell ref="I54:O54"/>
    <mergeCell ref="P54:U54"/>
    <mergeCell ref="AB54:AH54"/>
    <mergeCell ref="AI54:AK54"/>
    <mergeCell ref="D61:G61"/>
    <mergeCell ref="H61:M61"/>
    <mergeCell ref="D62:G62"/>
    <mergeCell ref="H62:M62"/>
    <mergeCell ref="D63:G63"/>
    <mergeCell ref="H63:M63"/>
    <mergeCell ref="D58:N58"/>
    <mergeCell ref="D59:G59"/>
    <mergeCell ref="H59:M59"/>
    <mergeCell ref="D60:G60"/>
    <mergeCell ref="H60:M60"/>
    <mergeCell ref="S63:AK63"/>
    <mergeCell ref="D65:G65"/>
    <mergeCell ref="H65:M65"/>
    <mergeCell ref="D66:G66"/>
    <mergeCell ref="H66:M66"/>
    <mergeCell ref="D64:G64"/>
    <mergeCell ref="H64:M64"/>
    <mergeCell ref="D70:M70"/>
    <mergeCell ref="D67:G67"/>
    <mergeCell ref="H67:M67"/>
    <mergeCell ref="D68:G68"/>
    <mergeCell ref="H68:M68"/>
    <mergeCell ref="D69:G69"/>
    <mergeCell ref="H69:M69"/>
  </mergeCells>
  <conditionalFormatting sqref="B5:B34 E5:E22 Q5:Q25 K5:K25 N5 T9 W5:W9 H8:H12 H14 N9:N35 K29 T13:T31 W24:W28 W34 Z11 Z30:Z35 W11:W20 T33:T35 Z21:Z28 H16:H34 W22 AC5:AC34 AF5:AF35 AI5:AI35 Z16:Z19">
    <cfRule type="expression" dxfId="42" priority="43" stopIfTrue="1">
      <formula>IF(C5="S",TRUE, IF(C5="D", TRUE,FALSE))</formula>
    </cfRule>
  </conditionalFormatting>
  <conditionalFormatting sqref="D5:D34 G5:G22 J5:J34 V5:V35 G26:G27 G33:G34 P5:P35 S5:S33 AH5:AH35 AK5:AK35 Y5:Y34 M5:M35 AB5:AB28 AB30:AB35 AE5:AE34">
    <cfRule type="expression" dxfId="41" priority="42" stopIfTrue="1">
      <formula>IF(C5="S",TRUE,IF(C5="D",TRUE,FALSE))</formula>
    </cfRule>
  </conditionalFormatting>
  <conditionalFormatting sqref="AB49:AK49 AB53:AK53">
    <cfRule type="expression" dxfId="40" priority="41" stopIfTrue="1">
      <formula xml:space="preserve"> IF($G$38=100,IF($P$47&lt;$AI49,TRUE,FALSE),FALSE)</formula>
    </cfRule>
  </conditionalFormatting>
  <conditionalFormatting sqref="R34">
    <cfRule type="cellIs" dxfId="39" priority="39" stopIfTrue="1" operator="equal">
      <formula>"S"</formula>
    </cfRule>
    <cfRule type="cellIs" dxfId="38" priority="40" stopIfTrue="1" operator="equal">
      <formula>"D"</formula>
    </cfRule>
  </conditionalFormatting>
  <conditionalFormatting sqref="C5:C35 O5:O35 F5:F35 L5:L35 I5:I34 X5:X34 AD5:AD34 AG5:AG35 AJ5:AJ35 R5:R33 U5:U35 AA5:AA35">
    <cfRule type="expression" dxfId="37" priority="38" stopIfTrue="1">
      <formula>IF(C5="S",TRUE,IF(C5="D",TRUE,FALSE))</formula>
    </cfRule>
  </conditionalFormatting>
  <conditionalFormatting sqref="P47">
    <cfRule type="cellIs" dxfId="36" priority="36" stopIfTrue="1" operator="lessThan">
      <formula>1.33333333333333</formula>
    </cfRule>
    <cfRule type="cellIs" dxfId="35" priority="37" stopIfTrue="1" operator="greaterThan">
      <formula>1.83333333333333</formula>
    </cfRule>
  </conditionalFormatting>
  <conditionalFormatting sqref="E26:E27">
    <cfRule type="expression" dxfId="34" priority="35" stopIfTrue="1">
      <formula>IF(F26="S",TRUE, IF(F26="D", TRUE,FALSE))</formula>
    </cfRule>
  </conditionalFormatting>
  <conditionalFormatting sqref="E33:E34">
    <cfRule type="expression" dxfId="33" priority="34" stopIfTrue="1">
      <formula>IF(F33="S",TRUE, IF(F33="D", TRUE,FALSE))</formula>
    </cfRule>
  </conditionalFormatting>
  <conditionalFormatting sqref="H13">
    <cfRule type="expression" dxfId="32" priority="33" stopIfTrue="1">
      <formula>IF(I13="S",TRUE, IF(I13="D", TRUE,FALSE))</formula>
    </cfRule>
  </conditionalFormatting>
  <conditionalFormatting sqref="N8">
    <cfRule type="expression" dxfId="31" priority="32" stopIfTrue="1">
      <formula>IF(O8="S",TRUE, IF(O8="D", TRUE,FALSE))</formula>
    </cfRule>
  </conditionalFormatting>
  <conditionalFormatting sqref="K34:K35 K26:K28">
    <cfRule type="expression" dxfId="30" priority="31" stopIfTrue="1">
      <formula>IF(L26="S",TRUE, IF(L26="D", TRUE,FALSE))</formula>
    </cfRule>
  </conditionalFormatting>
  <conditionalFormatting sqref="T5:T8">
    <cfRule type="expression" dxfId="29" priority="30" stopIfTrue="1">
      <formula>IF(U5="S",TRUE, IF(U5="D", TRUE,FALSE))</formula>
    </cfRule>
  </conditionalFormatting>
  <conditionalFormatting sqref="Q26:Q30">
    <cfRule type="expression" dxfId="28" priority="29" stopIfTrue="1">
      <formula>IF(R26="S",TRUE, IF(R26="D", TRUE,FALSE))</formula>
    </cfRule>
  </conditionalFormatting>
  <conditionalFormatting sqref="Z20">
    <cfRule type="expression" dxfId="27" priority="28" stopIfTrue="1">
      <formula>IF(AA20="S",TRUE, IF(AA20="D", TRUE,FALSE))</formula>
    </cfRule>
  </conditionalFormatting>
  <conditionalFormatting sqref="W23">
    <cfRule type="expression" dxfId="26" priority="27" stopIfTrue="1">
      <formula>IF(X23="S",TRUE, IF(X23="D", TRUE,FALSE))</formula>
    </cfRule>
  </conditionalFormatting>
  <conditionalFormatting sqref="W29:W33">
    <cfRule type="expression" dxfId="25" priority="26" stopIfTrue="1">
      <formula>IF(X29="S",TRUE, IF(X29="D", TRUE,FALSE))</formula>
    </cfRule>
  </conditionalFormatting>
  <conditionalFormatting sqref="Z8 Z10">
    <cfRule type="expression" dxfId="24" priority="25" stopIfTrue="1">
      <formula>IF(AA8="S",TRUE, IF(AA8="D", TRUE,FALSE))</formula>
    </cfRule>
  </conditionalFormatting>
  <conditionalFormatting sqref="Z9">
    <cfRule type="expression" dxfId="23" priority="24" stopIfTrue="1">
      <formula>IF(AA9="S",TRUE, IF(AA9="D", TRUE,FALSE))</formula>
    </cfRule>
  </conditionalFormatting>
  <conditionalFormatting sqref="W10">
    <cfRule type="expression" dxfId="22" priority="23" stopIfTrue="1">
      <formula>IF(X10="S",TRUE, IF(X10="D", TRUE,FALSE))</formula>
    </cfRule>
  </conditionalFormatting>
  <conditionalFormatting sqref="AB29">
    <cfRule type="expression" dxfId="21" priority="22" stopIfTrue="1">
      <formula>IF(AA29="S",TRUE,IF(AA29="D",TRUE,FALSE))</formula>
    </cfRule>
  </conditionalFormatting>
  <conditionalFormatting sqref="Q33">
    <cfRule type="expression" dxfId="20" priority="21" stopIfTrue="1">
      <formula>IF(R33="S",TRUE, IF(R33="D", TRUE,FALSE))</formula>
    </cfRule>
  </conditionalFormatting>
  <conditionalFormatting sqref="T32">
    <cfRule type="expression" dxfId="19" priority="20" stopIfTrue="1">
      <formula>IF(U32="S",TRUE, IF(U32="D", TRUE,FALSE))</formula>
    </cfRule>
  </conditionalFormatting>
  <conditionalFormatting sqref="E23:E25">
    <cfRule type="expression" dxfId="18" priority="19" stopIfTrue="1">
      <formula>IF(F23="S",TRUE, IF(F23="D", TRUE,FALSE))</formula>
    </cfRule>
  </conditionalFormatting>
  <conditionalFormatting sqref="E28:E32">
    <cfRule type="expression" dxfId="17" priority="18" stopIfTrue="1">
      <formula>IF(F28="S",TRUE, IF(F28="D", TRUE,FALSE))</formula>
    </cfRule>
  </conditionalFormatting>
  <conditionalFormatting sqref="E35">
    <cfRule type="expression" dxfId="16" priority="17" stopIfTrue="1">
      <formula>IF(F35="S",TRUE, IF(F35="D", TRUE,FALSE))</formula>
    </cfRule>
  </conditionalFormatting>
  <conditionalFormatting sqref="G23:G25">
    <cfRule type="expression" dxfId="15" priority="16" stopIfTrue="1">
      <formula>IF(F23="S",TRUE,IF(F23="D",TRUE,FALSE))</formula>
    </cfRule>
  </conditionalFormatting>
  <conditionalFormatting sqref="G28:G32">
    <cfRule type="expression" dxfId="14" priority="15" stopIfTrue="1">
      <formula>IF(F28="S",TRUE,IF(F28="D",TRUE,FALSE))</formula>
    </cfRule>
  </conditionalFormatting>
  <conditionalFormatting sqref="G35">
    <cfRule type="expression" dxfId="13" priority="14" stopIfTrue="1">
      <formula>IF(F35="S",TRUE,IF(F35="D",TRUE,FALSE))</formula>
    </cfRule>
  </conditionalFormatting>
  <conditionalFormatting sqref="K30:K33">
    <cfRule type="expression" dxfId="12" priority="13" stopIfTrue="1">
      <formula>IF(L30="S",TRUE, IF(L30="D", TRUE,FALSE))</formula>
    </cfRule>
  </conditionalFormatting>
  <conditionalFormatting sqref="N6:N7">
    <cfRule type="expression" dxfId="11" priority="12" stopIfTrue="1">
      <formula>IF(O6="S",TRUE, IF(O6="D", TRUE,FALSE))</formula>
    </cfRule>
  </conditionalFormatting>
  <conditionalFormatting sqref="Q31:Q32">
    <cfRule type="expression" dxfId="10" priority="11" stopIfTrue="1">
      <formula>IF(R31="S",TRUE, IF(R31="D", TRUE,FALSE))</formula>
    </cfRule>
  </conditionalFormatting>
  <conditionalFormatting sqref="H5:H7">
    <cfRule type="expression" dxfId="9" priority="10" stopIfTrue="1">
      <formula>IF(I5="S",TRUE, IF(I5="D", TRUE,FALSE))</formula>
    </cfRule>
  </conditionalFormatting>
  <conditionalFormatting sqref="H15">
    <cfRule type="expression" dxfId="8" priority="9" stopIfTrue="1">
      <formula>IF(I15="S",TRUE, IF(I15="D", TRUE,FALSE))</formula>
    </cfRule>
  </conditionalFormatting>
  <conditionalFormatting sqref="T10:T12">
    <cfRule type="expression" dxfId="7" priority="8" stopIfTrue="1">
      <formula>IF(U10="S",TRUE, IF(U10="D", TRUE,FALSE))</formula>
    </cfRule>
  </conditionalFormatting>
  <conditionalFormatting sqref="W21">
    <cfRule type="expression" dxfId="6" priority="7" stopIfTrue="1">
      <formula>IF(X21="S",TRUE, IF(X21="D", TRUE,FALSE))</formula>
    </cfRule>
  </conditionalFormatting>
  <conditionalFormatting sqref="Z5:Z7">
    <cfRule type="expression" dxfId="5" priority="6" stopIfTrue="1">
      <formula>IF(AA5="S",TRUE, IF(AA5="D", TRUE,FALSE))</formula>
    </cfRule>
  </conditionalFormatting>
  <conditionalFormatting sqref="Z12:Z15">
    <cfRule type="expression" dxfId="4" priority="5" stopIfTrue="1">
      <formula>IF(AA12="S",TRUE, IF(AA12="D", TRUE,FALSE))</formula>
    </cfRule>
  </conditionalFormatting>
  <conditionalFormatting sqref="Z29">
    <cfRule type="expression" dxfId="3" priority="4" stopIfTrue="1">
      <formula>IF(AA29="S",TRUE, IF(AA29="D", TRUE,FALSE))</formula>
    </cfRule>
  </conditionalFormatting>
  <conditionalFormatting sqref="AB54:AK54">
    <cfRule type="expression" dxfId="2" priority="3" stopIfTrue="1">
      <formula>IF($P$47&gt;#REF!,TRUE,FALSE)</formula>
    </cfRule>
  </conditionalFormatting>
  <conditionalFormatting sqref="T9">
    <cfRule type="expression" dxfId="1" priority="2" stopIfTrue="1">
      <formula>IF(U9="S",TRUE, IF(U9="D", TRUE,FALSE))</formula>
    </cfRule>
  </conditionalFormatting>
  <conditionalFormatting sqref="Z11">
    <cfRule type="expression" dxfId="0" priority="1" stopIfTrue="1">
      <formula>IF(AA11="S",TRUE, IF(AA11="D", TRUE,FALSE))</formula>
    </cfRule>
  </conditionalFormatting>
  <pageMargins left="0.86614173228346458" right="0.39370078740157483" top="0.47244094488188981" bottom="0" header="0.78740157480314965" footer="0.31496062992125984"/>
  <pageSetup paperSize="9" scale="58" orientation="landscape" r:id="rId1"/>
  <headerFooter alignWithMargins="0"/>
  <drawing r:id="rId2"/>
  <legacyDrawing r:id="rId3"/>
  <controls>
    <control shapeId="70657" r:id="rId4" name="ComboBox1"/>
  </control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Calendrier</vt:lpstr>
      <vt:lpstr>AED 18</vt:lpstr>
      <vt:lpstr>AED 17</vt:lpstr>
      <vt:lpstr>AED 16</vt:lpstr>
      <vt:lpstr>AED 15</vt:lpstr>
      <vt:lpstr>AED 13</vt:lpstr>
      <vt:lpstr>AED 14</vt:lpstr>
      <vt:lpstr>AED 1</vt:lpstr>
      <vt:lpstr>AED 2</vt:lpstr>
      <vt:lpstr>AED 3</vt:lpstr>
      <vt:lpstr>AED 4</vt:lpstr>
      <vt:lpstr>AED 5</vt:lpstr>
      <vt:lpstr>AED 6</vt:lpstr>
      <vt:lpstr>AED 7</vt:lpstr>
      <vt:lpstr>AED 8</vt:lpstr>
      <vt:lpstr>AED 9</vt:lpstr>
      <vt:lpstr>AED 10</vt:lpstr>
      <vt:lpstr>AED 11</vt:lpstr>
      <vt:lpstr>AED 12</vt:lpstr>
      <vt:lpstr>Feuil2</vt:lpstr>
    </vt:vector>
  </TitlesOfParts>
  <Company>Conseil régional Hauts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Calendrier prévisionnel</dc:subject>
  <dc:creator>xbryche@cr-picardie.fr</dc:creator>
  <cp:lastModifiedBy>cpe1</cp:lastModifiedBy>
  <cp:lastPrinted>2018-12-11T12:54:32Z</cp:lastPrinted>
  <dcterms:created xsi:type="dcterms:W3CDTF">2009-03-17T16:08:23Z</dcterms:created>
  <dcterms:modified xsi:type="dcterms:W3CDTF">2019-01-09T16:45:47Z</dcterms:modified>
</cp:coreProperties>
</file>